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ีงบประมาณ 2568\11 ตรวจสอบข้อมูลแผนการรับนักศึกษาภาคปกติภาคพิเศษ และขอข้อมูลอาจารย์ ประจำหลักสูตร 2568 - 2572\"/>
    </mc:Choice>
  </mc:AlternateContent>
  <bookViews>
    <workbookView xWindow="0" yWindow="0" windowWidth="22980" windowHeight="8925" tabRatio="794" firstSheet="6" activeTab="6"/>
  </bookViews>
  <sheets>
    <sheet name="นศ.รวม+สำเร็จ" sheetId="6" state="hidden" r:id="rId1"/>
    <sheet name="ปกติ" sheetId="1" state="hidden" r:id="rId2"/>
    <sheet name="ปกติตัดปี1" sheetId="21" state="hidden" r:id="rId3"/>
    <sheet name="กศ.ป." sheetId="4" state="hidden" r:id="rId4"/>
    <sheet name="กศ.ป.ตัดปี1" sheetId="22" state="hidden" r:id="rId5"/>
    <sheet name="ปกติ (2)" sheetId="25" state="hidden" r:id="rId6"/>
    <sheet name="แผนรับนักศึกษา" sheetId="30" r:id="rId7"/>
    <sheet name="กศ.ป. (2)" sheetId="26" state="hidden" r:id="rId8"/>
    <sheet name="แผนการรับนักศึกษาพิเศษ" sheetId="31" r:id="rId9"/>
    <sheet name="บัณฑิตศึกษา" sheetId="7" state="hidden" r:id="rId10"/>
    <sheet name="บัณฑิตศึกษาตัดปี1" sheetId="23" state="hidden" r:id="rId11"/>
    <sheet name="นักเรียนรร.วิถีธรรม" sheetId="12" state="hidden" r:id="rId12"/>
    <sheet name="นศ.คงอยู่ปกติ" sheetId="18" state="hidden" r:id="rId13"/>
    <sheet name="นศ.คงอยู่พิเศษ" sheetId="19" state="hidden" r:id="rId14"/>
    <sheet name="Sheet1" sheetId="20" state="hidden" r:id="rId15"/>
    <sheet name="รวมทั้งสองภาค" sheetId="24" state="hidden" r:id="rId16"/>
    <sheet name="แผนรับบัณฑิตศึกษา" sheetId="32" r:id="rId17"/>
    <sheet name="นักเรียนวิถีธรรม" sheetId="27" state="hidden" r:id="rId18"/>
    <sheet name="นักเรียนวิถีธรรม (2)" sheetId="29" state="hidden" r:id="rId19"/>
    <sheet name="สรุปส่งจังหวัด5_4_59" sheetId="28" state="hidden" r:id="rId20"/>
  </sheets>
  <definedNames>
    <definedName name="_xlnm.Print_Area" localSheetId="3">กศ.ป.!$A$1:$W$83</definedName>
    <definedName name="_xlnm.Print_Area" localSheetId="7">'กศ.ป. (2)'!$A$1:$X$85</definedName>
    <definedName name="_xlnm.Print_Area" localSheetId="4">กศ.ป.ตัดปี1!$A$1:$W$83</definedName>
    <definedName name="_xlnm.Print_Area" localSheetId="9">บัณฑิตศึกษา!$A$1:$I$48</definedName>
    <definedName name="_xlnm.Print_Area" localSheetId="10">บัณฑิตศึกษาตัดปี1!$A$1:$I$47</definedName>
    <definedName name="_xlnm.Print_Area" localSheetId="1">ปกติ!$A$1:$S$151</definedName>
    <definedName name="_xlnm.Print_Area" localSheetId="5">'ปกติ (2)'!$A$1:$V$137</definedName>
    <definedName name="_xlnm.Print_Area" localSheetId="2">ปกติตัดปี1!$A$1:$R$150</definedName>
    <definedName name="_xlnm.Print_Area" localSheetId="8">แผนการรับนักศึกษาพิเศษ!$A$1:$V$85</definedName>
    <definedName name="_xlnm.Print_Area" localSheetId="6">แผนรับนักศึกษา!$A$1:$H$142</definedName>
    <definedName name="_xlnm.Print_Area" localSheetId="16">แผนรับบัณฑิตศึกษา!$A$1:$U$39</definedName>
    <definedName name="_xlnm.Print_Area" localSheetId="19">สรุปส่งจังหวัด5_4_59!$A$1:$I$41</definedName>
    <definedName name="_xlnm.Print_Titles" localSheetId="7">'กศ.ป. (2)'!$2:$4</definedName>
    <definedName name="_xlnm.Print_Titles" localSheetId="9">บัณฑิตศึกษา!$3:$4</definedName>
    <definedName name="_xlnm.Print_Titles" localSheetId="1">ปกติ!$3:$4</definedName>
    <definedName name="_xlnm.Print_Titles" localSheetId="5">'ปกติ (2)'!$3:$4</definedName>
    <definedName name="_xlnm.Print_Titles" localSheetId="2">ปกติตัดปี1!$3:$4</definedName>
    <definedName name="_xlnm.Print_Titles" localSheetId="8">แผนการรับนักศึกษาพิเศษ!$1:$5</definedName>
    <definedName name="_xlnm.Print_Titles" localSheetId="6">แผนรับนักศึกษา!$1:$4</definedName>
    <definedName name="_xlnm.Print_Titles" localSheetId="16">แผนรับบัณฑิตศึกษา!$3:$4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8" l="1"/>
  <c r="G38" i="28"/>
  <c r="F38" i="28"/>
  <c r="E38" i="28"/>
  <c r="D38" i="28"/>
  <c r="C38" i="28"/>
  <c r="B38" i="28"/>
  <c r="H37" i="28"/>
  <c r="F37" i="28"/>
  <c r="H36" i="28"/>
  <c r="H35" i="28"/>
  <c r="G35" i="28"/>
  <c r="F35" i="28"/>
  <c r="E35" i="28"/>
  <c r="D35" i="28"/>
  <c r="C35" i="28"/>
  <c r="B35" i="28"/>
  <c r="H34" i="28"/>
  <c r="G34" i="28"/>
  <c r="F34" i="28"/>
  <c r="E34" i="28"/>
  <c r="D34" i="28"/>
  <c r="C34" i="28"/>
  <c r="B34" i="28"/>
  <c r="H33" i="28"/>
  <c r="G33" i="28"/>
  <c r="F33" i="28"/>
  <c r="E33" i="28"/>
  <c r="D33" i="28"/>
  <c r="C33" i="28"/>
  <c r="B33" i="28"/>
  <c r="H32" i="28"/>
  <c r="G32" i="28"/>
  <c r="F32" i="28"/>
  <c r="E32" i="28"/>
  <c r="D32" i="28"/>
  <c r="C32" i="28"/>
  <c r="B32" i="28"/>
  <c r="H26" i="28"/>
  <c r="G26" i="28"/>
  <c r="F26" i="28"/>
  <c r="E26" i="28"/>
  <c r="D26" i="28"/>
  <c r="C26" i="28"/>
  <c r="B26" i="28"/>
  <c r="H25" i="28"/>
  <c r="G25" i="28"/>
  <c r="F25" i="28"/>
  <c r="E25" i="28"/>
  <c r="D25" i="28"/>
  <c r="C25" i="28"/>
  <c r="B25" i="28"/>
  <c r="H24" i="28"/>
  <c r="G24" i="28"/>
  <c r="F24" i="28"/>
  <c r="E24" i="28"/>
  <c r="D24" i="28"/>
  <c r="C24" i="28"/>
  <c r="B24" i="28"/>
  <c r="H23" i="28"/>
  <c r="G23" i="28"/>
  <c r="F23" i="28"/>
  <c r="E23" i="28"/>
  <c r="D23" i="28"/>
  <c r="C23" i="28"/>
  <c r="B23" i="28"/>
  <c r="H22" i="28"/>
  <c r="G22" i="28"/>
  <c r="F22" i="28"/>
  <c r="E22" i="28"/>
  <c r="D22" i="28"/>
  <c r="C22" i="28"/>
  <c r="B22" i="28"/>
  <c r="H21" i="28"/>
  <c r="G21" i="28"/>
  <c r="F21" i="28"/>
  <c r="E21" i="28"/>
  <c r="D21" i="28"/>
  <c r="C21" i="28"/>
  <c r="B21" i="28"/>
  <c r="H20" i="28"/>
  <c r="G20" i="28"/>
  <c r="F20" i="28"/>
  <c r="E20" i="28"/>
  <c r="D20" i="28"/>
  <c r="C20" i="28"/>
  <c r="B20" i="28"/>
  <c r="J14" i="28"/>
  <c r="I14" i="28"/>
  <c r="I8" i="28"/>
  <c r="F18" i="29"/>
  <c r="C18" i="29"/>
  <c r="F17" i="29"/>
  <c r="F16" i="29"/>
  <c r="C16" i="29"/>
  <c r="J15" i="29"/>
  <c r="I15" i="29"/>
  <c r="H15" i="29"/>
  <c r="G15" i="29"/>
  <c r="F15" i="29"/>
  <c r="C15" i="29"/>
  <c r="B15" i="29"/>
  <c r="F10" i="29"/>
  <c r="F9" i="29"/>
  <c r="F8" i="29"/>
  <c r="F7" i="29"/>
  <c r="F6" i="29"/>
  <c r="F18" i="27"/>
  <c r="C18" i="27"/>
  <c r="F17" i="27"/>
  <c r="F16" i="27"/>
  <c r="C16" i="27"/>
  <c r="J15" i="27"/>
  <c r="I15" i="27"/>
  <c r="H15" i="27"/>
  <c r="G15" i="27"/>
  <c r="F15" i="27"/>
  <c r="C15" i="27"/>
  <c r="B15" i="27"/>
  <c r="F10" i="27"/>
  <c r="F9" i="27"/>
  <c r="F8" i="27"/>
  <c r="F7" i="27"/>
  <c r="F6" i="27"/>
  <c r="E45" i="32"/>
  <c r="D45" i="32"/>
  <c r="C45" i="32"/>
  <c r="E44" i="32"/>
  <c r="D44" i="32"/>
  <c r="C44" i="32"/>
  <c r="I43" i="32"/>
  <c r="E43" i="32"/>
  <c r="D43" i="32"/>
  <c r="C43" i="32"/>
  <c r="I42" i="32"/>
  <c r="E42" i="32"/>
  <c r="C42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B40" i="32"/>
  <c r="U39" i="32"/>
  <c r="M39" i="32"/>
  <c r="L39" i="32"/>
  <c r="K39" i="32"/>
  <c r="J39" i="32"/>
  <c r="I39" i="32"/>
  <c r="H39" i="32"/>
  <c r="G39" i="32"/>
  <c r="F39" i="32"/>
  <c r="E39" i="32"/>
  <c r="D39" i="32"/>
  <c r="C39" i="32"/>
  <c r="B39" i="32"/>
  <c r="Q38" i="32"/>
  <c r="E38" i="32"/>
  <c r="D38" i="32"/>
  <c r="C38" i="32"/>
  <c r="Q37" i="32"/>
  <c r="E37" i="32"/>
  <c r="D37" i="32"/>
  <c r="C37" i="32"/>
  <c r="Q36" i="32"/>
  <c r="E36" i="32"/>
  <c r="D36" i="32"/>
  <c r="C36" i="32"/>
  <c r="Q35" i="32"/>
  <c r="E35" i="32"/>
  <c r="D35" i="32"/>
  <c r="C35" i="32"/>
  <c r="Q34" i="32"/>
  <c r="C34" i="32"/>
  <c r="R33" i="32"/>
  <c r="Q33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R30" i="32"/>
  <c r="U28" i="32"/>
  <c r="M28" i="32"/>
  <c r="L28" i="32"/>
  <c r="K28" i="32"/>
  <c r="J28" i="32"/>
  <c r="I28" i="32"/>
  <c r="H28" i="32"/>
  <c r="G28" i="32"/>
  <c r="F28" i="32"/>
  <c r="E28" i="32"/>
  <c r="D28" i="32"/>
  <c r="C28" i="32"/>
  <c r="B28" i="32"/>
  <c r="E27" i="32"/>
  <c r="C27" i="32"/>
  <c r="E26" i="32"/>
  <c r="C26" i="32"/>
  <c r="E24" i="32"/>
  <c r="C24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22" i="32"/>
  <c r="S21" i="32"/>
  <c r="R21" i="32"/>
  <c r="Q21" i="32"/>
  <c r="P21" i="32"/>
  <c r="C21" i="32"/>
  <c r="S19" i="32"/>
  <c r="R19" i="32"/>
  <c r="Q19" i="32"/>
  <c r="P19" i="32"/>
  <c r="D19" i="32"/>
  <c r="C19" i="32"/>
  <c r="S18" i="32"/>
  <c r="Q18" i="32"/>
  <c r="F18" i="32"/>
  <c r="S17" i="32"/>
  <c r="U16" i="32"/>
  <c r="M16" i="32"/>
  <c r="L16" i="32"/>
  <c r="K16" i="32"/>
  <c r="J16" i="32"/>
  <c r="I16" i="32"/>
  <c r="G16" i="32"/>
  <c r="F16" i="32"/>
  <c r="D16" i="32"/>
  <c r="C16" i="32"/>
  <c r="B16" i="32"/>
  <c r="I14" i="32"/>
  <c r="U12" i="32"/>
  <c r="S12" i="32"/>
  <c r="R12" i="32"/>
  <c r="Q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B12" i="32"/>
  <c r="N11" i="32"/>
  <c r="C11" i="32"/>
  <c r="S10" i="32"/>
  <c r="R10" i="32"/>
  <c r="Q10" i="32"/>
  <c r="S9" i="32"/>
  <c r="Q9" i="32"/>
  <c r="F9" i="32"/>
  <c r="S8" i="32"/>
  <c r="Q8" i="32"/>
  <c r="S7" i="32"/>
  <c r="R7" i="32"/>
  <c r="Q7" i="32"/>
  <c r="P7" i="32"/>
  <c r="F7" i="32"/>
  <c r="C7" i="32"/>
  <c r="B7" i="32"/>
  <c r="U5" i="32"/>
  <c r="T5" i="32"/>
  <c r="S5" i="32"/>
  <c r="R5" i="32"/>
  <c r="Q5" i="32"/>
  <c r="P5" i="32"/>
  <c r="O5" i="32"/>
  <c r="N5" i="32"/>
  <c r="M5" i="32"/>
  <c r="L5" i="32"/>
  <c r="K5" i="32"/>
  <c r="J5" i="32"/>
  <c r="I5" i="32"/>
  <c r="F8" i="24"/>
  <c r="E8" i="24"/>
  <c r="D8" i="24"/>
  <c r="C8" i="24"/>
  <c r="B8" i="24"/>
  <c r="F7" i="24"/>
  <c r="E7" i="24"/>
  <c r="D7" i="24"/>
  <c r="C7" i="24"/>
  <c r="B7" i="24"/>
  <c r="F6" i="24"/>
  <c r="E6" i="24"/>
  <c r="D6" i="24"/>
  <c r="B6" i="24"/>
  <c r="H15" i="20"/>
  <c r="H13" i="20"/>
  <c r="J12" i="20"/>
  <c r="H12" i="20"/>
  <c r="G12" i="20"/>
  <c r="F12" i="20"/>
  <c r="E12" i="20"/>
  <c r="D12" i="20"/>
  <c r="C12" i="20"/>
  <c r="B12" i="20"/>
  <c r="I11" i="20"/>
  <c r="J10" i="20"/>
  <c r="I10" i="20"/>
  <c r="J9" i="20"/>
  <c r="I9" i="20"/>
  <c r="J8" i="20"/>
  <c r="I8" i="20"/>
  <c r="I7" i="20"/>
  <c r="J6" i="20"/>
  <c r="I6" i="20"/>
  <c r="J5" i="20"/>
  <c r="I5" i="20"/>
  <c r="J4" i="20"/>
  <c r="I4" i="20"/>
  <c r="F32" i="19"/>
  <c r="G30" i="19"/>
  <c r="F30" i="19"/>
  <c r="E30" i="19"/>
  <c r="D30" i="19"/>
  <c r="C30" i="19"/>
  <c r="B30" i="19"/>
  <c r="G29" i="19"/>
  <c r="F29" i="19"/>
  <c r="E29" i="19"/>
  <c r="D29" i="19"/>
  <c r="C29" i="19"/>
  <c r="B29" i="19"/>
  <c r="G28" i="19"/>
  <c r="B28" i="19"/>
  <c r="G27" i="19"/>
  <c r="G26" i="19"/>
  <c r="G25" i="19"/>
  <c r="F25" i="19"/>
  <c r="E25" i="19"/>
  <c r="D25" i="19"/>
  <c r="C25" i="19"/>
  <c r="B25" i="19"/>
  <c r="I24" i="19"/>
  <c r="G24" i="19"/>
  <c r="G23" i="19"/>
  <c r="G22" i="19"/>
  <c r="H16" i="19"/>
  <c r="G16" i="19"/>
  <c r="F16" i="19"/>
  <c r="E16" i="19"/>
  <c r="G14" i="19"/>
  <c r="F14" i="19"/>
  <c r="E14" i="19"/>
  <c r="D14" i="19"/>
  <c r="C14" i="19"/>
  <c r="B14" i="19"/>
  <c r="G13" i="19"/>
  <c r="F13" i="19"/>
  <c r="E13" i="19"/>
  <c r="D13" i="19"/>
  <c r="C13" i="19"/>
  <c r="B13" i="19"/>
  <c r="G12" i="19"/>
  <c r="E12" i="19"/>
  <c r="C12" i="19"/>
  <c r="B12" i="19"/>
  <c r="G11" i="19"/>
  <c r="J10" i="19"/>
  <c r="I10" i="19"/>
  <c r="G10" i="19"/>
  <c r="E10" i="19"/>
  <c r="C10" i="19"/>
  <c r="G9" i="19"/>
  <c r="F9" i="19"/>
  <c r="E9" i="19"/>
  <c r="D9" i="19"/>
  <c r="C9" i="19"/>
  <c r="B9" i="19"/>
  <c r="J8" i="19"/>
  <c r="G8" i="19"/>
  <c r="J7" i="19"/>
  <c r="G7" i="19"/>
  <c r="J6" i="19"/>
  <c r="G6" i="19"/>
  <c r="D6" i="19"/>
  <c r="O41" i="18"/>
  <c r="N41" i="18"/>
  <c r="M41" i="18"/>
  <c r="L41" i="18"/>
  <c r="K41" i="18"/>
  <c r="J41" i="18"/>
  <c r="O40" i="18"/>
  <c r="N40" i="18"/>
  <c r="M40" i="18"/>
  <c r="L40" i="18"/>
  <c r="K40" i="18"/>
  <c r="J40" i="18"/>
  <c r="O39" i="18"/>
  <c r="O38" i="18"/>
  <c r="O37" i="18"/>
  <c r="O36" i="18"/>
  <c r="N36" i="18"/>
  <c r="M36" i="18"/>
  <c r="L36" i="18"/>
  <c r="K36" i="18"/>
  <c r="J36" i="18"/>
  <c r="O35" i="18"/>
  <c r="O34" i="18"/>
  <c r="O33" i="18"/>
  <c r="V30" i="18"/>
  <c r="U30" i="18"/>
  <c r="T30" i="18"/>
  <c r="S30" i="18"/>
  <c r="R30" i="18"/>
  <c r="Q30" i="18"/>
  <c r="G30" i="18"/>
  <c r="F30" i="18"/>
  <c r="E30" i="18"/>
  <c r="D30" i="18"/>
  <c r="C30" i="18"/>
  <c r="B30" i="18"/>
  <c r="V29" i="18"/>
  <c r="U29" i="18"/>
  <c r="T29" i="18"/>
  <c r="S29" i="18"/>
  <c r="R29" i="18"/>
  <c r="Q29" i="18"/>
  <c r="G29" i="18"/>
  <c r="F29" i="18"/>
  <c r="E29" i="18"/>
  <c r="D29" i="18"/>
  <c r="C29" i="18"/>
  <c r="B29" i="18"/>
  <c r="V28" i="18"/>
  <c r="R28" i="18"/>
  <c r="Q28" i="18"/>
  <c r="O28" i="18"/>
  <c r="N28" i="18"/>
  <c r="M28" i="18"/>
  <c r="L28" i="18"/>
  <c r="K28" i="18"/>
  <c r="J28" i="18"/>
  <c r="G28" i="18"/>
  <c r="C28" i="18"/>
  <c r="B28" i="18"/>
  <c r="V27" i="18"/>
  <c r="O27" i="18"/>
  <c r="N27" i="18"/>
  <c r="M27" i="18"/>
  <c r="L27" i="18"/>
  <c r="K27" i="18"/>
  <c r="J27" i="18"/>
  <c r="G27" i="18"/>
  <c r="V26" i="18"/>
  <c r="O26" i="18"/>
  <c r="G26" i="18"/>
  <c r="V25" i="18"/>
  <c r="U25" i="18"/>
  <c r="T25" i="18"/>
  <c r="S25" i="18"/>
  <c r="R25" i="18"/>
  <c r="Q25" i="18"/>
  <c r="O25" i="18"/>
  <c r="G25" i="18"/>
  <c r="F25" i="18"/>
  <c r="E25" i="18"/>
  <c r="D25" i="18"/>
  <c r="C25" i="18"/>
  <c r="B25" i="18"/>
  <c r="V24" i="18"/>
  <c r="O24" i="18"/>
  <c r="G24" i="18"/>
  <c r="V23" i="18"/>
  <c r="O23" i="18"/>
  <c r="N23" i="18"/>
  <c r="M23" i="18"/>
  <c r="L23" i="18"/>
  <c r="K23" i="18"/>
  <c r="J23" i="18"/>
  <c r="G23" i="18"/>
  <c r="V22" i="18"/>
  <c r="O22" i="18"/>
  <c r="G22" i="18"/>
  <c r="O21" i="18"/>
  <c r="O20" i="18"/>
  <c r="H18" i="18"/>
  <c r="U17" i="18"/>
  <c r="R17" i="18"/>
  <c r="F17" i="18"/>
  <c r="C17" i="18"/>
  <c r="V16" i="18"/>
  <c r="U16" i="18"/>
  <c r="T16" i="18"/>
  <c r="S16" i="18"/>
  <c r="R16" i="18"/>
  <c r="Q16" i="18"/>
  <c r="G16" i="18"/>
  <c r="F16" i="18"/>
  <c r="E16" i="18"/>
  <c r="D16" i="18"/>
  <c r="C16" i="18"/>
  <c r="B16" i="18"/>
  <c r="V15" i="18"/>
  <c r="U15" i="18"/>
  <c r="T15" i="18"/>
  <c r="S15" i="18"/>
  <c r="R15" i="18"/>
  <c r="Q15" i="18"/>
  <c r="G15" i="18"/>
  <c r="F15" i="18"/>
  <c r="E15" i="18"/>
  <c r="D15" i="18"/>
  <c r="C15" i="18"/>
  <c r="B15" i="18"/>
  <c r="V14" i="18"/>
  <c r="R14" i="18"/>
  <c r="Q14" i="18"/>
  <c r="G14" i="18"/>
  <c r="V13" i="18"/>
  <c r="G13" i="18"/>
  <c r="V12" i="18"/>
  <c r="J12" i="18"/>
  <c r="G12" i="18"/>
  <c r="V11" i="18"/>
  <c r="U11" i="18"/>
  <c r="T11" i="18"/>
  <c r="S11" i="18"/>
  <c r="R11" i="18"/>
  <c r="Q11" i="18"/>
  <c r="J11" i="18"/>
  <c r="G11" i="18"/>
  <c r="F11" i="18"/>
  <c r="E11" i="18"/>
  <c r="D11" i="18"/>
  <c r="C11" i="18"/>
  <c r="B11" i="18"/>
  <c r="V10" i="18"/>
  <c r="R10" i="18"/>
  <c r="Q10" i="18"/>
  <c r="G10" i="18"/>
  <c r="V9" i="18"/>
  <c r="G9" i="18"/>
  <c r="V8" i="18"/>
  <c r="S8" i="18"/>
  <c r="G8" i="18"/>
  <c r="C18" i="12"/>
  <c r="C17" i="12"/>
  <c r="H15" i="12"/>
  <c r="G15" i="12"/>
  <c r="F15" i="12"/>
  <c r="E15" i="12"/>
  <c r="D15" i="12"/>
  <c r="C15" i="12"/>
  <c r="B15" i="12"/>
  <c r="K57" i="23"/>
  <c r="K56" i="23"/>
  <c r="K55" i="23"/>
  <c r="K53" i="23"/>
  <c r="K52" i="23"/>
  <c r="K51" i="23"/>
  <c r="K48" i="23"/>
  <c r="K47" i="23"/>
  <c r="K46" i="23"/>
  <c r="K45" i="23"/>
  <c r="G45" i="23"/>
  <c r="D45" i="23"/>
  <c r="K44" i="23"/>
  <c r="G44" i="23"/>
  <c r="F44" i="23"/>
  <c r="E44" i="23"/>
  <c r="D44" i="23"/>
  <c r="G43" i="23"/>
  <c r="F43" i="23"/>
  <c r="E43" i="23"/>
  <c r="D43" i="23"/>
  <c r="K42" i="23"/>
  <c r="J42" i="23"/>
  <c r="G42" i="23"/>
  <c r="E42" i="23"/>
  <c r="D42" i="23"/>
  <c r="K41" i="23"/>
  <c r="R40" i="23"/>
  <c r="Q40" i="23"/>
  <c r="K40" i="23"/>
  <c r="I40" i="23"/>
  <c r="H40" i="23"/>
  <c r="G40" i="23"/>
  <c r="F40" i="23"/>
  <c r="E40" i="23"/>
  <c r="D40" i="23"/>
  <c r="C40" i="23"/>
  <c r="B40" i="23"/>
  <c r="I39" i="23"/>
  <c r="E39" i="23"/>
  <c r="D39" i="23"/>
  <c r="I38" i="23"/>
  <c r="D38" i="23"/>
  <c r="I37" i="23"/>
  <c r="I35" i="23"/>
  <c r="H35" i="23"/>
  <c r="G35" i="23"/>
  <c r="F35" i="23"/>
  <c r="E35" i="23"/>
  <c r="D35" i="23"/>
  <c r="C35" i="23"/>
  <c r="B35" i="23"/>
  <c r="L34" i="23"/>
  <c r="I34" i="23"/>
  <c r="R33" i="23"/>
  <c r="L33" i="23"/>
  <c r="I33" i="23"/>
  <c r="D33" i="23"/>
  <c r="M32" i="23"/>
  <c r="L32" i="23"/>
  <c r="L31" i="23"/>
  <c r="I31" i="23"/>
  <c r="H31" i="23"/>
  <c r="G31" i="23"/>
  <c r="F31" i="23"/>
  <c r="E31" i="23"/>
  <c r="D31" i="23"/>
  <c r="C31" i="23"/>
  <c r="B31" i="23"/>
  <c r="R29" i="23"/>
  <c r="M29" i="23"/>
  <c r="I29" i="23"/>
  <c r="M27" i="23"/>
  <c r="I27" i="23"/>
  <c r="H27" i="23"/>
  <c r="G27" i="23"/>
  <c r="F27" i="23"/>
  <c r="E27" i="23"/>
  <c r="D27" i="23"/>
  <c r="C27" i="23"/>
  <c r="B27" i="23"/>
  <c r="O26" i="23"/>
  <c r="N26" i="23"/>
  <c r="M26" i="23"/>
  <c r="K26" i="23"/>
  <c r="M25" i="23"/>
  <c r="K25" i="23"/>
  <c r="I25" i="23"/>
  <c r="K24" i="23"/>
  <c r="I23" i="23"/>
  <c r="H23" i="23"/>
  <c r="G23" i="23"/>
  <c r="F23" i="23"/>
  <c r="E23" i="23"/>
  <c r="D23" i="23"/>
  <c r="C23" i="23"/>
  <c r="B23" i="23"/>
  <c r="I22" i="23"/>
  <c r="R21" i="23"/>
  <c r="I21" i="23"/>
  <c r="R20" i="23"/>
  <c r="I20" i="23"/>
  <c r="T19" i="23"/>
  <c r="R19" i="23"/>
  <c r="I19" i="23"/>
  <c r="N18" i="23"/>
  <c r="M18" i="23"/>
  <c r="L18" i="23"/>
  <c r="N17" i="23"/>
  <c r="M17" i="23"/>
  <c r="L17" i="23"/>
  <c r="I17" i="23"/>
  <c r="H17" i="23"/>
  <c r="G17" i="23"/>
  <c r="F17" i="23"/>
  <c r="E17" i="23"/>
  <c r="D17" i="23"/>
  <c r="C17" i="23"/>
  <c r="B17" i="23"/>
  <c r="R16" i="23"/>
  <c r="N16" i="23"/>
  <c r="L16" i="23"/>
  <c r="I16" i="23"/>
  <c r="R15" i="23"/>
  <c r="Q15" i="23"/>
  <c r="N15" i="23"/>
  <c r="I15" i="23"/>
  <c r="R14" i="23"/>
  <c r="Q14" i="23"/>
  <c r="N14" i="23"/>
  <c r="I14" i="23"/>
  <c r="R13" i="23"/>
  <c r="N13" i="23"/>
  <c r="M13" i="23"/>
  <c r="L13" i="23"/>
  <c r="I13" i="23"/>
  <c r="D13" i="23"/>
  <c r="P12" i="23"/>
  <c r="J12" i="23"/>
  <c r="I12" i="23"/>
  <c r="H12" i="23"/>
  <c r="G12" i="23"/>
  <c r="F12" i="23"/>
  <c r="E12" i="23"/>
  <c r="D12" i="23"/>
  <c r="C12" i="23"/>
  <c r="B12" i="23"/>
  <c r="I11" i="23"/>
  <c r="R10" i="23"/>
  <c r="N10" i="23"/>
  <c r="M10" i="23"/>
  <c r="L10" i="23"/>
  <c r="I10" i="23"/>
  <c r="N9" i="23"/>
  <c r="M9" i="23"/>
  <c r="L9" i="23"/>
  <c r="I9" i="23"/>
  <c r="N8" i="23"/>
  <c r="L8" i="23"/>
  <c r="I8" i="23"/>
  <c r="F8" i="23"/>
  <c r="E8" i="23"/>
  <c r="D8" i="23"/>
  <c r="S7" i="23"/>
  <c r="N7" i="23"/>
  <c r="M7" i="23"/>
  <c r="L7" i="23"/>
  <c r="I7" i="23"/>
  <c r="D7" i="23"/>
  <c r="E46" i="7"/>
  <c r="D46" i="7"/>
  <c r="C46" i="7"/>
  <c r="E45" i="7"/>
  <c r="D45" i="7"/>
  <c r="C45" i="7"/>
  <c r="I44" i="7"/>
  <c r="E44" i="7"/>
  <c r="D44" i="7"/>
  <c r="C44" i="7"/>
  <c r="I43" i="7"/>
  <c r="E43" i="7"/>
  <c r="C43" i="7"/>
  <c r="I41" i="7"/>
  <c r="H41" i="7"/>
  <c r="G41" i="7"/>
  <c r="F41" i="7"/>
  <c r="E41" i="7"/>
  <c r="D41" i="7"/>
  <c r="C41" i="7"/>
  <c r="B41" i="7"/>
  <c r="I40" i="7"/>
  <c r="G40" i="7"/>
  <c r="F40" i="7"/>
  <c r="D40" i="7"/>
  <c r="C40" i="7"/>
  <c r="B40" i="7"/>
  <c r="I39" i="7"/>
  <c r="I38" i="7"/>
  <c r="I36" i="7"/>
  <c r="H36" i="7"/>
  <c r="G36" i="7"/>
  <c r="F36" i="7"/>
  <c r="E36" i="7"/>
  <c r="D36" i="7"/>
  <c r="C36" i="7"/>
  <c r="B36" i="7"/>
  <c r="M35" i="7"/>
  <c r="I35" i="7"/>
  <c r="E35" i="7"/>
  <c r="D35" i="7"/>
  <c r="C35" i="7"/>
  <c r="M34" i="7"/>
  <c r="I34" i="7"/>
  <c r="C34" i="7"/>
  <c r="N33" i="7"/>
  <c r="M33" i="7"/>
  <c r="M32" i="7"/>
  <c r="I32" i="7"/>
  <c r="H32" i="7"/>
  <c r="G32" i="7"/>
  <c r="F32" i="7"/>
  <c r="E32" i="7"/>
  <c r="D32" i="7"/>
  <c r="C32" i="7"/>
  <c r="N30" i="7"/>
  <c r="I30" i="7"/>
  <c r="N28" i="7"/>
  <c r="I28" i="7"/>
  <c r="H28" i="7"/>
  <c r="G28" i="7"/>
  <c r="F28" i="7"/>
  <c r="E28" i="7"/>
  <c r="D28" i="7"/>
  <c r="C28" i="7"/>
  <c r="B28" i="7"/>
  <c r="O27" i="7"/>
  <c r="N27" i="7"/>
  <c r="K27" i="7"/>
  <c r="N26" i="7"/>
  <c r="K26" i="7"/>
  <c r="I26" i="7"/>
  <c r="K25" i="7"/>
  <c r="I24" i="7"/>
  <c r="H24" i="7"/>
  <c r="G24" i="7"/>
  <c r="F24" i="7"/>
  <c r="E24" i="7"/>
  <c r="D24" i="7"/>
  <c r="C24" i="7"/>
  <c r="B24" i="7"/>
  <c r="I23" i="7"/>
  <c r="E23" i="7"/>
  <c r="C23" i="7"/>
  <c r="I22" i="7"/>
  <c r="I21" i="7"/>
  <c r="E21" i="7"/>
  <c r="C21" i="7"/>
  <c r="I19" i="7"/>
  <c r="H19" i="7"/>
  <c r="G19" i="7"/>
  <c r="F19" i="7"/>
  <c r="E19" i="7"/>
  <c r="D19" i="7"/>
  <c r="C19" i="7"/>
  <c r="B19" i="7"/>
  <c r="O18" i="7"/>
  <c r="N18" i="7"/>
  <c r="M18" i="7"/>
  <c r="L18" i="7"/>
  <c r="I18" i="7"/>
  <c r="C18" i="7"/>
  <c r="I17" i="7"/>
  <c r="O16" i="7"/>
  <c r="N16" i="7"/>
  <c r="M16" i="7"/>
  <c r="L16" i="7"/>
  <c r="I16" i="7"/>
  <c r="D16" i="7"/>
  <c r="C16" i="7"/>
  <c r="O15" i="7"/>
  <c r="M15" i="7"/>
  <c r="I15" i="7"/>
  <c r="F15" i="7"/>
  <c r="O14" i="7"/>
  <c r="O13" i="7"/>
  <c r="N13" i="7"/>
  <c r="M13" i="7"/>
  <c r="J13" i="7"/>
  <c r="I13" i="7"/>
  <c r="H13" i="7"/>
  <c r="G13" i="7"/>
  <c r="F13" i="7"/>
  <c r="E13" i="7"/>
  <c r="D13" i="7"/>
  <c r="C13" i="7"/>
  <c r="B13" i="7"/>
  <c r="J12" i="7"/>
  <c r="I12" i="7"/>
  <c r="C12" i="7"/>
  <c r="O11" i="7"/>
  <c r="N11" i="7"/>
  <c r="M11" i="7"/>
  <c r="L11" i="7"/>
  <c r="I11" i="7"/>
  <c r="C11" i="7"/>
  <c r="O10" i="7"/>
  <c r="N10" i="7"/>
  <c r="M10" i="7"/>
  <c r="I10" i="7"/>
  <c r="O9" i="7"/>
  <c r="M9" i="7"/>
  <c r="I9" i="7"/>
  <c r="F9" i="7"/>
  <c r="O8" i="7"/>
  <c r="M8" i="7"/>
  <c r="I8" i="7"/>
  <c r="O7" i="7"/>
  <c r="N7" i="7"/>
  <c r="M7" i="7"/>
  <c r="L7" i="7"/>
  <c r="I7" i="7"/>
  <c r="F7" i="7"/>
  <c r="C7" i="7"/>
  <c r="B7" i="7"/>
  <c r="E105" i="31"/>
  <c r="D105" i="31"/>
  <c r="C105" i="31"/>
  <c r="C98" i="31"/>
  <c r="C97" i="31"/>
  <c r="C96" i="31"/>
  <c r="J95" i="31"/>
  <c r="AA94" i="31"/>
  <c r="C94" i="31"/>
  <c r="C93" i="31"/>
  <c r="AA92" i="31"/>
  <c r="C92" i="31"/>
  <c r="J89" i="31"/>
  <c r="W87" i="31"/>
  <c r="J87" i="31"/>
  <c r="G87" i="31"/>
  <c r="B87" i="31"/>
  <c r="AC86" i="31"/>
  <c r="AB86" i="31"/>
  <c r="W86" i="31"/>
  <c r="P86" i="31"/>
  <c r="O86" i="31"/>
  <c r="N86" i="31"/>
  <c r="M86" i="31"/>
  <c r="L86" i="31"/>
  <c r="K86" i="31"/>
  <c r="J86" i="31"/>
  <c r="I86" i="31"/>
  <c r="H86" i="31"/>
  <c r="G86" i="31"/>
  <c r="F86" i="31"/>
  <c r="E86" i="31"/>
  <c r="D86" i="31"/>
  <c r="C86" i="31"/>
  <c r="B86" i="31"/>
  <c r="AB85" i="31"/>
  <c r="AA85" i="31"/>
  <c r="W85" i="31"/>
  <c r="V85" i="31"/>
  <c r="U85" i="31"/>
  <c r="T85" i="31"/>
  <c r="S85" i="31"/>
  <c r="R85" i="31"/>
  <c r="P85" i="31"/>
  <c r="O85" i="31"/>
  <c r="N85" i="31"/>
  <c r="M85" i="31"/>
  <c r="L85" i="31"/>
  <c r="K85" i="31"/>
  <c r="J85" i="31"/>
  <c r="I85" i="31"/>
  <c r="H85" i="31"/>
  <c r="G85" i="31"/>
  <c r="F85" i="31"/>
  <c r="E85" i="31"/>
  <c r="D85" i="31"/>
  <c r="C85" i="31"/>
  <c r="B85" i="31"/>
  <c r="P84" i="31"/>
  <c r="P83" i="31"/>
  <c r="J83" i="31"/>
  <c r="AK82" i="31"/>
  <c r="AB82" i="31"/>
  <c r="AA82" i="31"/>
  <c r="P82" i="31"/>
  <c r="AB81" i="31"/>
  <c r="AA81" i="31"/>
  <c r="P81" i="31"/>
  <c r="P80" i="31"/>
  <c r="J80" i="31"/>
  <c r="P79" i="31"/>
  <c r="J79" i="31"/>
  <c r="P78" i="31"/>
  <c r="J78" i="31"/>
  <c r="P77" i="31"/>
  <c r="J77" i="31"/>
  <c r="P76" i="31"/>
  <c r="J76" i="31"/>
  <c r="P75" i="31"/>
  <c r="J75" i="31"/>
  <c r="P74" i="31"/>
  <c r="J74" i="31"/>
  <c r="P73" i="31"/>
  <c r="J73" i="31"/>
  <c r="P72" i="31"/>
  <c r="P71" i="31"/>
  <c r="J71" i="31"/>
  <c r="AD70" i="31"/>
  <c r="P70" i="31"/>
  <c r="J70" i="31"/>
  <c r="P69" i="31"/>
  <c r="P68" i="31"/>
  <c r="P67" i="31"/>
  <c r="P66" i="31"/>
  <c r="AB65" i="31"/>
  <c r="AA65" i="31"/>
  <c r="W65" i="31"/>
  <c r="V65" i="3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P64" i="31"/>
  <c r="P63" i="31"/>
  <c r="P62" i="31"/>
  <c r="P61" i="31"/>
  <c r="P60" i="31"/>
  <c r="P59" i="31"/>
  <c r="P58" i="31"/>
  <c r="P57" i="31"/>
  <c r="P56" i="31"/>
  <c r="P55" i="31"/>
  <c r="AF54" i="31"/>
  <c r="AE54" i="31"/>
  <c r="AD54" i="31"/>
  <c r="P54" i="31"/>
  <c r="F54" i="31"/>
  <c r="P53" i="31"/>
  <c r="P52" i="31"/>
  <c r="V51" i="31"/>
  <c r="U51" i="31"/>
  <c r="T51" i="31"/>
  <c r="S51" i="31"/>
  <c r="R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P46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P44" i="31"/>
  <c r="J44" i="31"/>
  <c r="P43" i="31"/>
  <c r="P42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P40" i="31"/>
  <c r="X39" i="31"/>
  <c r="P39" i="31"/>
  <c r="J39" i="31"/>
  <c r="X38" i="31"/>
  <c r="P38" i="31"/>
  <c r="J38" i="31"/>
  <c r="AB37" i="31"/>
  <c r="P36" i="31"/>
  <c r="J36" i="31"/>
  <c r="AB35" i="31"/>
  <c r="P35" i="31"/>
  <c r="AD34" i="31"/>
  <c r="AA34" i="31"/>
  <c r="Z34" i="31"/>
  <c r="P34" i="31"/>
  <c r="AB31" i="31"/>
  <c r="P31" i="31"/>
  <c r="AB30" i="31"/>
  <c r="P30" i="31"/>
  <c r="J30" i="31"/>
  <c r="P29" i="31"/>
  <c r="J29" i="31"/>
  <c r="P28" i="31"/>
  <c r="J28" i="31"/>
  <c r="P27" i="31"/>
  <c r="J27" i="31"/>
  <c r="J26" i="31"/>
  <c r="J25" i="31"/>
  <c r="AB24" i="31"/>
  <c r="P24" i="31"/>
  <c r="J24" i="31"/>
  <c r="AE23" i="31"/>
  <c r="AD23" i="31"/>
  <c r="AC23" i="31"/>
  <c r="AB23" i="31"/>
  <c r="AA23" i="31"/>
  <c r="X23" i="31"/>
  <c r="P23" i="31"/>
  <c r="AC22" i="31"/>
  <c r="AB22" i="31"/>
  <c r="AA22" i="31"/>
  <c r="Z22" i="31"/>
  <c r="Y22" i="31"/>
  <c r="X22" i="31"/>
  <c r="P22" i="31"/>
  <c r="AC21" i="31"/>
  <c r="AB21" i="31"/>
  <c r="AA21" i="31"/>
  <c r="Z21" i="31"/>
  <c r="Y21" i="31"/>
  <c r="X21" i="31"/>
  <c r="Q21" i="31"/>
  <c r="AC20" i="31"/>
  <c r="AA20" i="31"/>
  <c r="Y20" i="31"/>
  <c r="X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AC19" i="31"/>
  <c r="P19" i="31"/>
  <c r="AC18" i="31"/>
  <c r="P18" i="31"/>
  <c r="AC17" i="31"/>
  <c r="P17" i="31"/>
  <c r="AC16" i="31"/>
  <c r="P16" i="31"/>
  <c r="AC15" i="31"/>
  <c r="AB15" i="31"/>
  <c r="AA15" i="31"/>
  <c r="Y15" i="31"/>
  <c r="P15" i="31"/>
  <c r="J15" i="31"/>
  <c r="AE14" i="31"/>
  <c r="AC14" i="31"/>
  <c r="AB14" i="31"/>
  <c r="AA14" i="31"/>
  <c r="Z14" i="31"/>
  <c r="Y14" i="31"/>
  <c r="X14" i="31"/>
  <c r="P14" i="31"/>
  <c r="J14" i="31"/>
  <c r="AC13" i="31"/>
  <c r="AB13" i="31"/>
  <c r="AA13" i="31"/>
  <c r="Y13" i="31"/>
  <c r="X13" i="31"/>
  <c r="P13" i="31"/>
  <c r="J13" i="31"/>
  <c r="AE12" i="31"/>
  <c r="AC12" i="31"/>
  <c r="AA12" i="31"/>
  <c r="Y12" i="31"/>
  <c r="P12" i="31"/>
  <c r="J12" i="31"/>
  <c r="AC11" i="31"/>
  <c r="AB11" i="31"/>
  <c r="AA11" i="31"/>
  <c r="Z11" i="31"/>
  <c r="X11" i="31"/>
  <c r="P11" i="31"/>
  <c r="J11" i="31"/>
  <c r="P10" i="31"/>
  <c r="J10" i="31"/>
  <c r="P9" i="31"/>
  <c r="J9" i="31"/>
  <c r="P8" i="31"/>
  <c r="J8" i="31"/>
  <c r="P7" i="31"/>
  <c r="J7" i="31"/>
  <c r="E104" i="26"/>
  <c r="D104" i="26"/>
  <c r="C104" i="26"/>
  <c r="C97" i="26"/>
  <c r="C96" i="26"/>
  <c r="C95" i="26"/>
  <c r="J94" i="26"/>
  <c r="V93" i="26"/>
  <c r="C93" i="26"/>
  <c r="C92" i="26"/>
  <c r="V91" i="26"/>
  <c r="C91" i="26"/>
  <c r="J88" i="26"/>
  <c r="R86" i="26"/>
  <c r="J86" i="26"/>
  <c r="G86" i="26"/>
  <c r="B86" i="26"/>
  <c r="X85" i="26"/>
  <c r="W85" i="26"/>
  <c r="R85" i="26"/>
  <c r="P85" i="26"/>
  <c r="O85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B85" i="26"/>
  <c r="W84" i="26"/>
  <c r="V84" i="26"/>
  <c r="R84" i="26"/>
  <c r="P84" i="26"/>
  <c r="O84" i="26"/>
  <c r="N84" i="26"/>
  <c r="M84" i="26"/>
  <c r="L84" i="26"/>
  <c r="K84" i="26"/>
  <c r="J84" i="26"/>
  <c r="I84" i="26"/>
  <c r="H84" i="26"/>
  <c r="G84" i="26"/>
  <c r="F84" i="26"/>
  <c r="E84" i="26"/>
  <c r="D84" i="26"/>
  <c r="C84" i="26"/>
  <c r="B84" i="26"/>
  <c r="P83" i="26"/>
  <c r="P82" i="26"/>
  <c r="J82" i="26"/>
  <c r="W81" i="26"/>
  <c r="V81" i="26"/>
  <c r="P81" i="26"/>
  <c r="J81" i="26"/>
  <c r="W80" i="26"/>
  <c r="V80" i="26"/>
  <c r="P80" i="26"/>
  <c r="J80" i="26"/>
  <c r="P79" i="26"/>
  <c r="J79" i="26"/>
  <c r="P78" i="26"/>
  <c r="J78" i="26"/>
  <c r="P77" i="26"/>
  <c r="J77" i="26"/>
  <c r="P76" i="26"/>
  <c r="J76" i="26"/>
  <c r="P75" i="26"/>
  <c r="J75" i="26"/>
  <c r="P74" i="26"/>
  <c r="J74" i="26"/>
  <c r="P73" i="26"/>
  <c r="J73" i="26"/>
  <c r="P72" i="26"/>
  <c r="J72" i="26"/>
  <c r="P71" i="26"/>
  <c r="J71" i="26"/>
  <c r="P70" i="26"/>
  <c r="J70" i="26"/>
  <c r="P69" i="26"/>
  <c r="J69" i="26"/>
  <c r="P68" i="26"/>
  <c r="J68" i="26"/>
  <c r="Y67" i="26"/>
  <c r="P67" i="26"/>
  <c r="J67" i="26"/>
  <c r="P66" i="26"/>
  <c r="J66" i="26"/>
  <c r="W65" i="26"/>
  <c r="V65" i="26"/>
  <c r="P65" i="26"/>
  <c r="J65" i="26"/>
  <c r="P64" i="26"/>
  <c r="P63" i="26"/>
  <c r="P62" i="26"/>
  <c r="J62" i="26"/>
  <c r="P61" i="26"/>
  <c r="W60" i="26"/>
  <c r="V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P59" i="26"/>
  <c r="J59" i="26"/>
  <c r="P58" i="26"/>
  <c r="J58" i="26"/>
  <c r="P57" i="26"/>
  <c r="J57" i="26"/>
  <c r="P56" i="26"/>
  <c r="J56" i="26"/>
  <c r="P55" i="26"/>
  <c r="J55" i="26"/>
  <c r="P54" i="26"/>
  <c r="J54" i="26"/>
  <c r="P53" i="26"/>
  <c r="J53" i="26"/>
  <c r="P52" i="26"/>
  <c r="J52" i="26"/>
  <c r="P51" i="26"/>
  <c r="J51" i="26"/>
  <c r="P50" i="26"/>
  <c r="AA49" i="26"/>
  <c r="Z49" i="26"/>
  <c r="Y49" i="26"/>
  <c r="P49" i="26"/>
  <c r="J49" i="26"/>
  <c r="F49" i="26"/>
  <c r="P48" i="26"/>
  <c r="P47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P44" i="26"/>
  <c r="J44" i="26"/>
  <c r="P43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P41" i="26"/>
  <c r="J41" i="26"/>
  <c r="P40" i="26"/>
  <c r="J40" i="26"/>
  <c r="P39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P37" i="26"/>
  <c r="J37" i="26"/>
  <c r="S36" i="26"/>
  <c r="P36" i="26"/>
  <c r="J36" i="26"/>
  <c r="S35" i="26"/>
  <c r="P35" i="26"/>
  <c r="J35" i="26"/>
  <c r="P34" i="26"/>
  <c r="J34" i="26"/>
  <c r="W33" i="26"/>
  <c r="P33" i="26"/>
  <c r="J33" i="26"/>
  <c r="Y32" i="26"/>
  <c r="V32" i="26"/>
  <c r="U32" i="26"/>
  <c r="P32" i="26"/>
  <c r="J32" i="26"/>
  <c r="J31" i="26"/>
  <c r="W30" i="26"/>
  <c r="P30" i="26"/>
  <c r="J30" i="26"/>
  <c r="P29" i="26"/>
  <c r="J29" i="26"/>
  <c r="P28" i="26"/>
  <c r="J28" i="26"/>
  <c r="P27" i="26"/>
  <c r="J27" i="26"/>
  <c r="J26" i="26"/>
  <c r="J25" i="26"/>
  <c r="W24" i="26"/>
  <c r="P24" i="26"/>
  <c r="J24" i="26"/>
  <c r="Z23" i="26"/>
  <c r="Y23" i="26"/>
  <c r="X23" i="26"/>
  <c r="W23" i="26"/>
  <c r="V23" i="26"/>
  <c r="S23" i="26"/>
  <c r="P23" i="26"/>
  <c r="J23" i="26"/>
  <c r="X22" i="26"/>
  <c r="W22" i="26"/>
  <c r="V22" i="26"/>
  <c r="U22" i="26"/>
  <c r="T22" i="26"/>
  <c r="S22" i="26"/>
  <c r="P22" i="26"/>
  <c r="J22" i="26"/>
  <c r="X21" i="26"/>
  <c r="W21" i="26"/>
  <c r="V21" i="26"/>
  <c r="U21" i="26"/>
  <c r="T21" i="26"/>
  <c r="S21" i="26"/>
  <c r="Q21" i="26"/>
  <c r="X20" i="26"/>
  <c r="V20" i="26"/>
  <c r="T20" i="26"/>
  <c r="S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A19" i="26"/>
  <c r="X19" i="26"/>
  <c r="T19" i="26"/>
  <c r="P19" i="26"/>
  <c r="J19" i="26"/>
  <c r="X18" i="26"/>
  <c r="P18" i="26"/>
  <c r="X17" i="26"/>
  <c r="P17" i="26"/>
  <c r="X16" i="26"/>
  <c r="P16" i="26"/>
  <c r="X15" i="26"/>
  <c r="P15" i="26"/>
  <c r="X14" i="26"/>
  <c r="W14" i="26"/>
  <c r="V14" i="26"/>
  <c r="T14" i="26"/>
  <c r="P14" i="26"/>
  <c r="J14" i="26"/>
  <c r="Z13" i="26"/>
  <c r="X13" i="26"/>
  <c r="W13" i="26"/>
  <c r="V13" i="26"/>
  <c r="U13" i="26"/>
  <c r="T13" i="26"/>
  <c r="S13" i="26"/>
  <c r="P13" i="26"/>
  <c r="J13" i="26"/>
  <c r="X12" i="26"/>
  <c r="W12" i="26"/>
  <c r="V12" i="26"/>
  <c r="T12" i="26"/>
  <c r="S12" i="26"/>
  <c r="P12" i="26"/>
  <c r="J12" i="26"/>
  <c r="Z11" i="26"/>
  <c r="X11" i="26"/>
  <c r="V11" i="26"/>
  <c r="T11" i="26"/>
  <c r="P11" i="26"/>
  <c r="J11" i="26"/>
  <c r="X10" i="26"/>
  <c r="W10" i="26"/>
  <c r="V10" i="26"/>
  <c r="U10" i="26"/>
  <c r="S10" i="26"/>
  <c r="P10" i="26"/>
  <c r="J10" i="26"/>
  <c r="P9" i="26"/>
  <c r="J9" i="26"/>
  <c r="P8" i="26"/>
  <c r="J8" i="26"/>
  <c r="P7" i="26"/>
  <c r="J7" i="26"/>
  <c r="P6" i="26"/>
  <c r="J6" i="26"/>
  <c r="J169" i="30"/>
  <c r="H162" i="30"/>
  <c r="T152" i="30"/>
  <c r="G152" i="30"/>
  <c r="F152" i="30"/>
  <c r="E152" i="30"/>
  <c r="C152" i="30"/>
  <c r="B152" i="30"/>
  <c r="I148" i="30"/>
  <c r="V147" i="30"/>
  <c r="T147" i="30"/>
  <c r="S147" i="30"/>
  <c r="R147" i="30"/>
  <c r="J147" i="30"/>
  <c r="I147" i="30"/>
  <c r="K146" i="30"/>
  <c r="J146" i="30"/>
  <c r="I146" i="30"/>
  <c r="H146" i="30"/>
  <c r="J144" i="30"/>
  <c r="I144" i="30"/>
  <c r="H144" i="30"/>
  <c r="I143" i="30"/>
  <c r="H143" i="30"/>
  <c r="V142" i="30"/>
  <c r="U142" i="30"/>
  <c r="T142" i="30"/>
  <c r="S142" i="30"/>
  <c r="R142" i="30"/>
  <c r="K142" i="30"/>
  <c r="I142" i="30"/>
  <c r="G142" i="30"/>
  <c r="F142" i="30"/>
  <c r="E142" i="30"/>
  <c r="D142" i="30"/>
  <c r="C142" i="30"/>
  <c r="B142" i="30"/>
  <c r="Z141" i="30"/>
  <c r="L140" i="30"/>
  <c r="J140" i="30"/>
  <c r="I140" i="30"/>
  <c r="H140" i="30"/>
  <c r="M139" i="30"/>
  <c r="K139" i="30"/>
  <c r="J139" i="30"/>
  <c r="I139" i="30"/>
  <c r="H139" i="30"/>
  <c r="M138" i="30"/>
  <c r="K138" i="30"/>
  <c r="J138" i="30"/>
  <c r="I138" i="30"/>
  <c r="H138" i="30"/>
  <c r="H137" i="30"/>
  <c r="M136" i="30"/>
  <c r="L136" i="30"/>
  <c r="K136" i="30"/>
  <c r="J136" i="30"/>
  <c r="I136" i="30"/>
  <c r="H136" i="30"/>
  <c r="H135" i="30"/>
  <c r="H134" i="30"/>
  <c r="H133" i="30"/>
  <c r="H132" i="30"/>
  <c r="H131" i="30"/>
  <c r="H130" i="30"/>
  <c r="H129" i="30"/>
  <c r="H128" i="30"/>
  <c r="Z126" i="30"/>
  <c r="Y126" i="30"/>
  <c r="V126" i="30"/>
  <c r="U126" i="30"/>
  <c r="T126" i="30"/>
  <c r="S126" i="30"/>
  <c r="R126" i="30"/>
  <c r="J126" i="30"/>
  <c r="G126" i="30"/>
  <c r="F126" i="30"/>
  <c r="E126" i="30"/>
  <c r="D126" i="30"/>
  <c r="C126" i="30"/>
  <c r="B126" i="30"/>
  <c r="H125" i="30"/>
  <c r="H124" i="30"/>
  <c r="H123" i="30"/>
  <c r="H122" i="30"/>
  <c r="H121" i="30"/>
  <c r="H120" i="30"/>
  <c r="H119" i="30"/>
  <c r="H118" i="30"/>
  <c r="H117" i="30"/>
  <c r="H116" i="30"/>
  <c r="H115" i="30"/>
  <c r="H114" i="30"/>
  <c r="H113" i="30"/>
  <c r="V112" i="30"/>
  <c r="U112" i="30"/>
  <c r="T112" i="30"/>
  <c r="S112" i="30"/>
  <c r="R112" i="30"/>
  <c r="G112" i="30"/>
  <c r="F112" i="30"/>
  <c r="E112" i="30"/>
  <c r="D112" i="30"/>
  <c r="C112" i="30"/>
  <c r="B112" i="30"/>
  <c r="H108" i="30"/>
  <c r="H106" i="30"/>
  <c r="H105" i="30"/>
  <c r="H104" i="30"/>
  <c r="H103" i="30"/>
  <c r="J102" i="30"/>
  <c r="H102" i="30"/>
  <c r="T90" i="30"/>
  <c r="G90" i="30"/>
  <c r="F90" i="30"/>
  <c r="E90" i="30"/>
  <c r="D90" i="30"/>
  <c r="C90" i="30"/>
  <c r="B90" i="30"/>
  <c r="G88" i="30"/>
  <c r="F88" i="30"/>
  <c r="E88" i="30"/>
  <c r="D88" i="30"/>
  <c r="C88" i="30"/>
  <c r="B88" i="30"/>
  <c r="G86" i="30"/>
  <c r="F86" i="30"/>
  <c r="E86" i="30"/>
  <c r="D86" i="30"/>
  <c r="C86" i="30"/>
  <c r="B86" i="30"/>
  <c r="V85" i="30"/>
  <c r="U85" i="30"/>
  <c r="T85" i="30"/>
  <c r="S85" i="30"/>
  <c r="R85" i="30"/>
  <c r="K85" i="30"/>
  <c r="J85" i="30"/>
  <c r="G85" i="30"/>
  <c r="F85" i="30"/>
  <c r="E85" i="30"/>
  <c r="D85" i="30"/>
  <c r="C85" i="30"/>
  <c r="B85" i="30"/>
  <c r="H77" i="30"/>
  <c r="V76" i="30"/>
  <c r="U76" i="30"/>
  <c r="T76" i="30"/>
  <c r="S76" i="30"/>
  <c r="R76" i="30"/>
  <c r="M76" i="30"/>
  <c r="L76" i="30"/>
  <c r="K76" i="30"/>
  <c r="J76" i="30"/>
  <c r="G76" i="30"/>
  <c r="F76" i="30"/>
  <c r="E76" i="30"/>
  <c r="D76" i="30"/>
  <c r="C76" i="30"/>
  <c r="B76" i="30"/>
  <c r="H75" i="30"/>
  <c r="H74" i="30"/>
  <c r="H73" i="30"/>
  <c r="H72" i="30"/>
  <c r="H71" i="30"/>
  <c r="H70" i="30"/>
  <c r="H69" i="30"/>
  <c r="H68" i="30"/>
  <c r="H67" i="30"/>
  <c r="H66" i="30"/>
  <c r="H64" i="30"/>
  <c r="H63" i="30"/>
  <c r="H62" i="30"/>
  <c r="H61" i="30"/>
  <c r="H60" i="30"/>
  <c r="M59" i="30"/>
  <c r="L59" i="30"/>
  <c r="H59" i="30"/>
  <c r="W58" i="30"/>
  <c r="T58" i="30"/>
  <c r="M58" i="30"/>
  <c r="L58" i="30"/>
  <c r="J58" i="30"/>
  <c r="G58" i="30"/>
  <c r="F58" i="30"/>
  <c r="E58" i="30"/>
  <c r="D58" i="30"/>
  <c r="C58" i="30"/>
  <c r="B58" i="30"/>
  <c r="M57" i="30"/>
  <c r="G57" i="30"/>
  <c r="F57" i="30"/>
  <c r="E57" i="30"/>
  <c r="D57" i="30"/>
  <c r="C57" i="30"/>
  <c r="B57" i="30"/>
  <c r="M56" i="30"/>
  <c r="L56" i="30"/>
  <c r="K56" i="30"/>
  <c r="J56" i="30"/>
  <c r="M55" i="30"/>
  <c r="L55" i="30"/>
  <c r="U54" i="30"/>
  <c r="T54" i="30"/>
  <c r="R54" i="30"/>
  <c r="M54" i="30"/>
  <c r="L54" i="30"/>
  <c r="G54" i="30"/>
  <c r="F54" i="30"/>
  <c r="E54" i="30"/>
  <c r="D54" i="30"/>
  <c r="C54" i="30"/>
  <c r="B54" i="30"/>
  <c r="V49" i="30"/>
  <c r="U49" i="30"/>
  <c r="T49" i="30"/>
  <c r="S49" i="30"/>
  <c r="R49" i="30"/>
  <c r="G49" i="30"/>
  <c r="F49" i="30"/>
  <c r="E49" i="30"/>
  <c r="D49" i="30"/>
  <c r="C49" i="30"/>
  <c r="B49" i="30"/>
  <c r="H48" i="30"/>
  <c r="H47" i="30"/>
  <c r="H46" i="30"/>
  <c r="H45" i="30"/>
  <c r="B45" i="30"/>
  <c r="H44" i="30"/>
  <c r="H43" i="30"/>
  <c r="H41" i="30"/>
  <c r="H39" i="30"/>
  <c r="H38" i="30"/>
  <c r="H37" i="30"/>
  <c r="J36" i="30"/>
  <c r="H36" i="30"/>
  <c r="O35" i="30"/>
  <c r="N35" i="30"/>
  <c r="M35" i="30"/>
  <c r="L35" i="30"/>
  <c r="K35" i="30"/>
  <c r="J35" i="30"/>
  <c r="H35" i="30"/>
  <c r="V34" i="30"/>
  <c r="U34" i="30"/>
  <c r="T34" i="30"/>
  <c r="O34" i="30"/>
  <c r="N34" i="30"/>
  <c r="M34" i="30"/>
  <c r="L34" i="30"/>
  <c r="K34" i="30"/>
  <c r="J34" i="30"/>
  <c r="G34" i="30"/>
  <c r="F34" i="30"/>
  <c r="E34" i="30"/>
  <c r="D34" i="30"/>
  <c r="C34" i="30"/>
  <c r="B34" i="30"/>
  <c r="V33" i="30"/>
  <c r="T33" i="30"/>
  <c r="S33" i="30"/>
  <c r="R33" i="30"/>
  <c r="O33" i="30"/>
  <c r="K33" i="30"/>
  <c r="J33" i="30"/>
  <c r="G33" i="30"/>
  <c r="F33" i="30"/>
  <c r="E33" i="30"/>
  <c r="C33" i="30"/>
  <c r="B33" i="30"/>
  <c r="V32" i="30"/>
  <c r="O32" i="30"/>
  <c r="K32" i="30"/>
  <c r="V31" i="30"/>
  <c r="O31" i="30"/>
  <c r="N31" i="30"/>
  <c r="M31" i="30"/>
  <c r="K31" i="30"/>
  <c r="V30" i="30"/>
  <c r="O30" i="30"/>
  <c r="N30" i="30"/>
  <c r="M30" i="30"/>
  <c r="L30" i="30"/>
  <c r="K30" i="30"/>
  <c r="J30" i="30"/>
  <c r="Z29" i="30"/>
  <c r="V29" i="30"/>
  <c r="O29" i="30"/>
  <c r="N29" i="30"/>
  <c r="M29" i="30"/>
  <c r="L29" i="30"/>
  <c r="K29" i="30"/>
  <c r="J29" i="30"/>
  <c r="O28" i="30"/>
  <c r="K28" i="30"/>
  <c r="J28" i="30"/>
  <c r="O27" i="30"/>
  <c r="O26" i="30"/>
  <c r="O25" i="30"/>
  <c r="V24" i="30"/>
  <c r="U24" i="30"/>
  <c r="T24" i="30"/>
  <c r="S24" i="30"/>
  <c r="R24" i="30"/>
  <c r="O24" i="30"/>
  <c r="K24" i="30"/>
  <c r="G24" i="30"/>
  <c r="F24" i="30"/>
  <c r="E24" i="30"/>
  <c r="D24" i="30"/>
  <c r="C24" i="30"/>
  <c r="B24" i="30"/>
  <c r="O23" i="30"/>
  <c r="N23" i="30"/>
  <c r="L23" i="30"/>
  <c r="H23" i="30"/>
  <c r="H22" i="30"/>
  <c r="H21" i="30"/>
  <c r="O20" i="30"/>
  <c r="N20" i="30"/>
  <c r="L20" i="30"/>
  <c r="H20" i="30"/>
  <c r="O19" i="30"/>
  <c r="N19" i="30"/>
  <c r="L19" i="30"/>
  <c r="H19" i="30"/>
  <c r="H18" i="30"/>
  <c r="H17" i="30"/>
  <c r="H16" i="30"/>
  <c r="P15" i="30"/>
  <c r="J15" i="30"/>
  <c r="H15" i="30"/>
  <c r="O14" i="30"/>
  <c r="N14" i="30"/>
  <c r="M14" i="30"/>
  <c r="L14" i="30"/>
  <c r="K14" i="30"/>
  <c r="J14" i="30"/>
  <c r="H14" i="30"/>
  <c r="P13" i="30"/>
  <c r="O13" i="30"/>
  <c r="N13" i="30"/>
  <c r="M13" i="30"/>
  <c r="L13" i="30"/>
  <c r="K13" i="30"/>
  <c r="J13" i="30"/>
  <c r="H13" i="30"/>
  <c r="O12" i="30"/>
  <c r="M12" i="30"/>
  <c r="K12" i="30"/>
  <c r="J12" i="30"/>
  <c r="H12" i="30"/>
  <c r="O11" i="30"/>
  <c r="K11" i="30"/>
  <c r="H11" i="30"/>
  <c r="O10" i="30"/>
  <c r="N10" i="30"/>
  <c r="M10" i="30"/>
  <c r="K10" i="30"/>
  <c r="H10" i="30"/>
  <c r="P9" i="30"/>
  <c r="O9" i="30"/>
  <c r="N9" i="30"/>
  <c r="M9" i="30"/>
  <c r="L9" i="30"/>
  <c r="K9" i="30"/>
  <c r="J9" i="30"/>
  <c r="H9" i="30"/>
  <c r="O8" i="30"/>
  <c r="M8" i="30"/>
  <c r="K8" i="30"/>
  <c r="J8" i="30"/>
  <c r="H8" i="30"/>
  <c r="O7" i="30"/>
  <c r="K7" i="30"/>
  <c r="H7" i="30"/>
  <c r="O6" i="30"/>
  <c r="N6" i="30"/>
  <c r="L6" i="30"/>
  <c r="H6" i="30"/>
  <c r="T5" i="30"/>
  <c r="G5" i="30"/>
  <c r="F5" i="30"/>
  <c r="E5" i="30"/>
  <c r="C5" i="30"/>
  <c r="B5" i="30"/>
  <c r="M141" i="25"/>
  <c r="M140" i="25"/>
  <c r="E140" i="25"/>
  <c r="Q139" i="25"/>
  <c r="M137" i="25"/>
  <c r="H137" i="25"/>
  <c r="F137" i="25"/>
  <c r="E137" i="25"/>
  <c r="I136" i="25"/>
  <c r="H136" i="25"/>
  <c r="G136" i="25"/>
  <c r="F136" i="25"/>
  <c r="E136" i="25"/>
  <c r="I135" i="25"/>
  <c r="H135" i="25"/>
  <c r="G135" i="25"/>
  <c r="F135" i="25"/>
  <c r="E135" i="25"/>
  <c r="M134" i="25"/>
  <c r="H134" i="25"/>
  <c r="G134" i="25"/>
  <c r="F134" i="25"/>
  <c r="E134" i="25"/>
  <c r="N133" i="25"/>
  <c r="M133" i="25"/>
  <c r="H133" i="25"/>
  <c r="G133" i="25"/>
  <c r="F133" i="25"/>
  <c r="E133" i="25"/>
  <c r="O132" i="25"/>
  <c r="M132" i="25"/>
  <c r="I132" i="25"/>
  <c r="H132" i="25"/>
  <c r="G132" i="25"/>
  <c r="E132" i="25"/>
  <c r="E129" i="25"/>
  <c r="H128" i="25"/>
  <c r="G128" i="25"/>
  <c r="F128" i="25"/>
  <c r="E128" i="25"/>
  <c r="E127" i="25"/>
  <c r="I125" i="25"/>
  <c r="H125" i="25"/>
  <c r="G125" i="25"/>
  <c r="F125" i="25"/>
  <c r="E125" i="25"/>
  <c r="H124" i="25"/>
  <c r="G124" i="25"/>
  <c r="F124" i="25"/>
  <c r="E124" i="25"/>
  <c r="E123" i="25"/>
  <c r="AA122" i="25"/>
  <c r="M122" i="25"/>
  <c r="I122" i="25"/>
  <c r="H122" i="25"/>
  <c r="G122" i="25"/>
  <c r="F122" i="25"/>
  <c r="E122" i="25"/>
  <c r="D122" i="25"/>
  <c r="C122" i="25"/>
  <c r="B122" i="25"/>
  <c r="I121" i="25"/>
  <c r="H121" i="25"/>
  <c r="G121" i="25"/>
  <c r="F121" i="25"/>
  <c r="E121" i="25"/>
  <c r="D121" i="25"/>
  <c r="C121" i="25"/>
  <c r="B121" i="25"/>
  <c r="I119" i="25"/>
  <c r="P118" i="25"/>
  <c r="AC117" i="25"/>
  <c r="AA117" i="25"/>
  <c r="Z117" i="25"/>
  <c r="Y117" i="25"/>
  <c r="Q117" i="25"/>
  <c r="P117" i="25"/>
  <c r="I117" i="25"/>
  <c r="H117" i="25"/>
  <c r="G117" i="25"/>
  <c r="F117" i="25"/>
  <c r="E117" i="25"/>
  <c r="D117" i="25"/>
  <c r="C117" i="25"/>
  <c r="B117" i="25"/>
  <c r="R116" i="25"/>
  <c r="Q116" i="25"/>
  <c r="P116" i="25"/>
  <c r="O116" i="25"/>
  <c r="L116" i="25"/>
  <c r="I116" i="25"/>
  <c r="L115" i="25"/>
  <c r="I115" i="25"/>
  <c r="Q114" i="25"/>
  <c r="P114" i="25"/>
  <c r="O114" i="25"/>
  <c r="L114" i="25"/>
  <c r="I114" i="25"/>
  <c r="P113" i="25"/>
  <c r="O113" i="25"/>
  <c r="L113" i="25"/>
  <c r="I113" i="25"/>
  <c r="AC112" i="25"/>
  <c r="AB112" i="25"/>
  <c r="AA112" i="25"/>
  <c r="Z112" i="25"/>
  <c r="Y112" i="25"/>
  <c r="R112" i="25"/>
  <c r="P112" i="25"/>
  <c r="I112" i="25"/>
  <c r="H112" i="25"/>
  <c r="G112" i="25"/>
  <c r="F112" i="25"/>
  <c r="E112" i="25"/>
  <c r="D112" i="25"/>
  <c r="C112" i="25"/>
  <c r="B112" i="25"/>
  <c r="I111" i="25"/>
  <c r="S110" i="25"/>
  <c r="Q110" i="25"/>
  <c r="P110" i="25"/>
  <c r="O110" i="25"/>
  <c r="L110" i="25"/>
  <c r="I110" i="25"/>
  <c r="E110" i="25"/>
  <c r="T109" i="25"/>
  <c r="R109" i="25"/>
  <c r="Q109" i="25"/>
  <c r="P109" i="25"/>
  <c r="O109" i="25"/>
  <c r="L109" i="25"/>
  <c r="I109" i="25"/>
  <c r="E109" i="25"/>
  <c r="O108" i="25"/>
  <c r="M108" i="25"/>
  <c r="L108" i="25"/>
  <c r="I108" i="25"/>
  <c r="T107" i="25"/>
  <c r="S107" i="25"/>
  <c r="R107" i="25"/>
  <c r="Q107" i="25"/>
  <c r="P107" i="25"/>
  <c r="O107" i="25"/>
  <c r="L107" i="25"/>
  <c r="I107" i="25"/>
  <c r="O106" i="25"/>
  <c r="L106" i="25"/>
  <c r="I106" i="25"/>
  <c r="O105" i="25"/>
  <c r="L105" i="25"/>
  <c r="I105" i="25"/>
  <c r="O104" i="25"/>
  <c r="L104" i="25"/>
  <c r="I104" i="25"/>
  <c r="O103" i="25"/>
  <c r="L103" i="25"/>
  <c r="I103" i="25"/>
  <c r="O102" i="25"/>
  <c r="L102" i="25"/>
  <c r="I102" i="25"/>
  <c r="O101" i="25"/>
  <c r="L101" i="25"/>
  <c r="I101" i="25"/>
  <c r="O100" i="25"/>
  <c r="L100" i="25"/>
  <c r="I100" i="25"/>
  <c r="M99" i="25"/>
  <c r="J99" i="25"/>
  <c r="I99" i="25"/>
  <c r="H99" i="25"/>
  <c r="G99" i="25"/>
  <c r="F99" i="25"/>
  <c r="E99" i="25"/>
  <c r="D99" i="25"/>
  <c r="C99" i="25"/>
  <c r="B99" i="25"/>
  <c r="AC98" i="25"/>
  <c r="AB98" i="25"/>
  <c r="AA98" i="25"/>
  <c r="Z98" i="25"/>
  <c r="Y98" i="25"/>
  <c r="Q98" i="25"/>
  <c r="I98" i="25"/>
  <c r="H98" i="25"/>
  <c r="G98" i="25"/>
  <c r="F98" i="25"/>
  <c r="E98" i="25"/>
  <c r="D98" i="25"/>
  <c r="C98" i="25"/>
  <c r="B98" i="25"/>
  <c r="O97" i="25"/>
  <c r="L97" i="25"/>
  <c r="I97" i="25"/>
  <c r="O96" i="25"/>
  <c r="L96" i="25"/>
  <c r="I96" i="25"/>
  <c r="O95" i="25"/>
  <c r="L95" i="25"/>
  <c r="I95" i="25"/>
  <c r="O94" i="25"/>
  <c r="L94" i="25"/>
  <c r="I94" i="25"/>
  <c r="O93" i="25"/>
  <c r="L93" i="25"/>
  <c r="I93" i="25"/>
  <c r="O92" i="25"/>
  <c r="L92" i="25"/>
  <c r="I92" i="25"/>
  <c r="O91" i="25"/>
  <c r="L91" i="25"/>
  <c r="I91" i="25"/>
  <c r="O90" i="25"/>
  <c r="L90" i="25"/>
  <c r="I90" i="25"/>
  <c r="O89" i="25"/>
  <c r="L89" i="25"/>
  <c r="I89" i="25"/>
  <c r="O88" i="25"/>
  <c r="L88" i="25"/>
  <c r="I88" i="25"/>
  <c r="O87" i="25"/>
  <c r="L87" i="25"/>
  <c r="I87" i="25"/>
  <c r="O86" i="25"/>
  <c r="L86" i="25"/>
  <c r="I86" i="25"/>
  <c r="AC85" i="25"/>
  <c r="AB85" i="25"/>
  <c r="AA85" i="25"/>
  <c r="Z85" i="25"/>
  <c r="Y85" i="25"/>
  <c r="L85" i="25"/>
  <c r="I85" i="25"/>
  <c r="H85" i="25"/>
  <c r="G85" i="25"/>
  <c r="F85" i="25"/>
  <c r="E85" i="25"/>
  <c r="D85" i="25"/>
  <c r="C85" i="25"/>
  <c r="B85" i="25"/>
  <c r="L84" i="25"/>
  <c r="I84" i="25"/>
  <c r="H84" i="25"/>
  <c r="G84" i="25"/>
  <c r="F84" i="25"/>
  <c r="E84" i="25"/>
  <c r="L83" i="25"/>
  <c r="L82" i="25"/>
  <c r="O81" i="25"/>
  <c r="L81" i="25"/>
  <c r="I81" i="25"/>
  <c r="O80" i="25"/>
  <c r="L80" i="25"/>
  <c r="I80" i="25"/>
  <c r="O79" i="25"/>
  <c r="L79" i="25"/>
  <c r="I79" i="25"/>
  <c r="O78" i="25"/>
  <c r="I78" i="25"/>
  <c r="O77" i="25"/>
  <c r="I77" i="25"/>
  <c r="Q76" i="25"/>
  <c r="O76" i="25"/>
  <c r="I76" i="25"/>
  <c r="Q75" i="25"/>
  <c r="O75" i="25"/>
  <c r="L75" i="25"/>
  <c r="I75" i="25"/>
  <c r="AA74" i="25"/>
  <c r="M74" i="25"/>
  <c r="I74" i="25"/>
  <c r="H74" i="25"/>
  <c r="G74" i="25"/>
  <c r="F74" i="25"/>
  <c r="E74" i="25"/>
  <c r="D74" i="25"/>
  <c r="C74" i="25"/>
  <c r="B74" i="25"/>
  <c r="I73" i="25"/>
  <c r="H73" i="25"/>
  <c r="G73" i="25"/>
  <c r="F73" i="25"/>
  <c r="E73" i="25"/>
  <c r="D73" i="25"/>
  <c r="C73" i="25"/>
  <c r="B73" i="25"/>
  <c r="I71" i="25"/>
  <c r="AC69" i="25"/>
  <c r="AB69" i="25"/>
  <c r="AA69" i="25"/>
  <c r="Z69" i="25"/>
  <c r="Y69" i="25"/>
  <c r="R69" i="25"/>
  <c r="Q69" i="25"/>
  <c r="I69" i="25"/>
  <c r="H69" i="25"/>
  <c r="G69" i="25"/>
  <c r="F69" i="25"/>
  <c r="E69" i="25"/>
  <c r="D69" i="25"/>
  <c r="C69" i="25"/>
  <c r="B69" i="25"/>
  <c r="O68" i="25"/>
  <c r="L68" i="25"/>
  <c r="I68" i="25"/>
  <c r="O67" i="25"/>
  <c r="L67" i="25"/>
  <c r="I67" i="25"/>
  <c r="O66" i="25"/>
  <c r="L66" i="25"/>
  <c r="I66" i="25"/>
  <c r="O65" i="25"/>
  <c r="L65" i="25"/>
  <c r="I65" i="25"/>
  <c r="O64" i="25"/>
  <c r="L64" i="25"/>
  <c r="I64" i="25"/>
  <c r="AC63" i="25"/>
  <c r="AB63" i="25"/>
  <c r="AA63" i="25"/>
  <c r="Z63" i="25"/>
  <c r="Y63" i="25"/>
  <c r="T63" i="25"/>
  <c r="S63" i="25"/>
  <c r="R63" i="25"/>
  <c r="Q63" i="25"/>
  <c r="I63" i="25"/>
  <c r="H63" i="25"/>
  <c r="G63" i="25"/>
  <c r="F63" i="25"/>
  <c r="E63" i="25"/>
  <c r="D63" i="25"/>
  <c r="C63" i="25"/>
  <c r="B63" i="25"/>
  <c r="O62" i="25"/>
  <c r="L62" i="25"/>
  <c r="I62" i="25"/>
  <c r="O61" i="25"/>
  <c r="L61" i="25"/>
  <c r="I61" i="25"/>
  <c r="Q60" i="25"/>
  <c r="O60" i="25"/>
  <c r="L60" i="25"/>
  <c r="I60" i="25"/>
  <c r="O59" i="25"/>
  <c r="L59" i="25"/>
  <c r="I59" i="25"/>
  <c r="O58" i="25"/>
  <c r="L58" i="25"/>
  <c r="I58" i="25"/>
  <c r="O57" i="25"/>
  <c r="L57" i="25"/>
  <c r="I57" i="25"/>
  <c r="O56" i="25"/>
  <c r="L56" i="25"/>
  <c r="I56" i="25"/>
  <c r="O55" i="25"/>
  <c r="I55" i="25"/>
  <c r="O54" i="25"/>
  <c r="I54" i="25"/>
  <c r="O53" i="25"/>
  <c r="L53" i="25"/>
  <c r="I53" i="25"/>
  <c r="O52" i="25"/>
  <c r="L52" i="25"/>
  <c r="I52" i="25"/>
  <c r="T51" i="25"/>
  <c r="O51" i="25"/>
  <c r="L51" i="25"/>
  <c r="I51" i="25"/>
  <c r="AD50" i="25"/>
  <c r="AA50" i="25"/>
  <c r="T50" i="25"/>
  <c r="S50" i="25"/>
  <c r="Q50" i="25"/>
  <c r="I50" i="25"/>
  <c r="H50" i="25"/>
  <c r="G50" i="25"/>
  <c r="F50" i="25"/>
  <c r="E50" i="25"/>
  <c r="D50" i="25"/>
  <c r="C50" i="25"/>
  <c r="B50" i="25"/>
  <c r="T49" i="25"/>
  <c r="I49" i="25"/>
  <c r="H49" i="25"/>
  <c r="G49" i="25"/>
  <c r="F49" i="25"/>
  <c r="E49" i="25"/>
  <c r="D49" i="25"/>
  <c r="C49" i="25"/>
  <c r="B49" i="25"/>
  <c r="T48" i="25"/>
  <c r="S48" i="25"/>
  <c r="R48" i="25"/>
  <c r="Q48" i="25"/>
  <c r="I48" i="25"/>
  <c r="T47" i="25"/>
  <c r="S47" i="25"/>
  <c r="AB46" i="25"/>
  <c r="AA46" i="25"/>
  <c r="Y46" i="25"/>
  <c r="T46" i="25"/>
  <c r="S46" i="25"/>
  <c r="I46" i="25"/>
  <c r="H46" i="25"/>
  <c r="G46" i="25"/>
  <c r="F46" i="25"/>
  <c r="E46" i="25"/>
  <c r="D46" i="25"/>
  <c r="C46" i="25"/>
  <c r="B46" i="25"/>
  <c r="I45" i="25"/>
  <c r="I44" i="25"/>
  <c r="AC42" i="25"/>
  <c r="AB42" i="25"/>
  <c r="AA42" i="25"/>
  <c r="Z42" i="25"/>
  <c r="Y42" i="25"/>
  <c r="N42" i="25"/>
  <c r="I42" i="25"/>
  <c r="H42" i="25"/>
  <c r="G42" i="25"/>
  <c r="F42" i="25"/>
  <c r="E42" i="25"/>
  <c r="D42" i="25"/>
  <c r="C42" i="25"/>
  <c r="B42" i="25"/>
  <c r="O41" i="25"/>
  <c r="L41" i="25"/>
  <c r="I41" i="25"/>
  <c r="O40" i="25"/>
  <c r="L40" i="25"/>
  <c r="I40" i="25"/>
  <c r="L39" i="25"/>
  <c r="I39" i="25"/>
  <c r="O38" i="25"/>
  <c r="L38" i="25"/>
  <c r="I38" i="25"/>
  <c r="L37" i="25"/>
  <c r="I37" i="25"/>
  <c r="O36" i="25"/>
  <c r="L36" i="25"/>
  <c r="I36" i="25"/>
  <c r="O35" i="25"/>
  <c r="L35" i="25"/>
  <c r="I35" i="25"/>
  <c r="O34" i="25"/>
  <c r="L34" i="25"/>
  <c r="I34" i="25"/>
  <c r="O33" i="25"/>
  <c r="L33" i="25"/>
  <c r="I33" i="25"/>
  <c r="Q32" i="25"/>
  <c r="O32" i="25"/>
  <c r="L32" i="25"/>
  <c r="I32" i="25"/>
  <c r="V31" i="25"/>
  <c r="U31" i="25"/>
  <c r="T31" i="25"/>
  <c r="S31" i="25"/>
  <c r="R31" i="25"/>
  <c r="Q31" i="25"/>
  <c r="O31" i="25"/>
  <c r="L31" i="25"/>
  <c r="I31" i="25"/>
  <c r="AC30" i="25"/>
  <c r="AB30" i="25"/>
  <c r="AA30" i="25"/>
  <c r="V30" i="25"/>
  <c r="U30" i="25"/>
  <c r="T30" i="25"/>
  <c r="S30" i="25"/>
  <c r="R30" i="25"/>
  <c r="Q30" i="25"/>
  <c r="J30" i="25"/>
  <c r="I30" i="25"/>
  <c r="H30" i="25"/>
  <c r="G30" i="25"/>
  <c r="F30" i="25"/>
  <c r="E30" i="25"/>
  <c r="D30" i="25"/>
  <c r="C30" i="25"/>
  <c r="B30" i="25"/>
  <c r="AC29" i="25"/>
  <c r="AA29" i="25"/>
  <c r="Z29" i="25"/>
  <c r="Y29" i="25"/>
  <c r="V29" i="25"/>
  <c r="R29" i="25"/>
  <c r="Q29" i="25"/>
  <c r="I29" i="25"/>
  <c r="H29" i="25"/>
  <c r="G29" i="25"/>
  <c r="F29" i="25"/>
  <c r="E29" i="25"/>
  <c r="D29" i="25"/>
  <c r="C29" i="25"/>
  <c r="B29" i="25"/>
  <c r="AC28" i="25"/>
  <c r="V28" i="25"/>
  <c r="R28" i="25"/>
  <c r="I28" i="25"/>
  <c r="AC27" i="25"/>
  <c r="V27" i="25"/>
  <c r="U27" i="25"/>
  <c r="T27" i="25"/>
  <c r="R27" i="25"/>
  <c r="I27" i="25"/>
  <c r="AC26" i="25"/>
  <c r="V26" i="25"/>
  <c r="U26" i="25"/>
  <c r="T26" i="25"/>
  <c r="S26" i="25"/>
  <c r="R26" i="25"/>
  <c r="Q26" i="25"/>
  <c r="I26" i="25"/>
  <c r="AC25" i="25"/>
  <c r="V25" i="25"/>
  <c r="U25" i="25"/>
  <c r="T25" i="25"/>
  <c r="S25" i="25"/>
  <c r="R25" i="25"/>
  <c r="Q25" i="25"/>
  <c r="I25" i="25"/>
  <c r="V24" i="25"/>
  <c r="R24" i="25"/>
  <c r="Q24" i="25"/>
  <c r="V23" i="25"/>
  <c r="I23" i="25"/>
  <c r="H23" i="25"/>
  <c r="G23" i="25"/>
  <c r="F23" i="25"/>
  <c r="E23" i="25"/>
  <c r="V22" i="25"/>
  <c r="V21" i="25"/>
  <c r="AC20" i="25"/>
  <c r="AB20" i="25"/>
  <c r="AA20" i="25"/>
  <c r="Z20" i="25"/>
  <c r="Y20" i="25"/>
  <c r="V20" i="25"/>
  <c r="R20" i="25"/>
  <c r="N20" i="25"/>
  <c r="M20" i="25"/>
  <c r="I20" i="25"/>
  <c r="H20" i="25"/>
  <c r="G20" i="25"/>
  <c r="F20" i="25"/>
  <c r="E20" i="25"/>
  <c r="D20" i="25"/>
  <c r="C20" i="25"/>
  <c r="B20" i="25"/>
  <c r="V19" i="25"/>
  <c r="U19" i="25"/>
  <c r="S19" i="25"/>
  <c r="O19" i="25"/>
  <c r="L19" i="25"/>
  <c r="I19" i="25"/>
  <c r="O18" i="25"/>
  <c r="L18" i="25"/>
  <c r="I18" i="25"/>
  <c r="O17" i="25"/>
  <c r="L17" i="25"/>
  <c r="I17" i="25"/>
  <c r="O16" i="25"/>
  <c r="L16" i="25"/>
  <c r="I16" i="25"/>
  <c r="W15" i="25"/>
  <c r="Q15" i="25"/>
  <c r="O15" i="25"/>
  <c r="L15" i="25"/>
  <c r="I15" i="25"/>
  <c r="V14" i="25"/>
  <c r="U14" i="25"/>
  <c r="T14" i="25"/>
  <c r="S14" i="25"/>
  <c r="R14" i="25"/>
  <c r="Q14" i="25"/>
  <c r="O14" i="25"/>
  <c r="L14" i="25"/>
  <c r="I14" i="25"/>
  <c r="W13" i="25"/>
  <c r="V13" i="25"/>
  <c r="U13" i="25"/>
  <c r="T13" i="25"/>
  <c r="S13" i="25"/>
  <c r="R13" i="25"/>
  <c r="Q13" i="25"/>
  <c r="O13" i="25"/>
  <c r="L13" i="25"/>
  <c r="I13" i="25"/>
  <c r="V12" i="25"/>
  <c r="T12" i="25"/>
  <c r="R12" i="25"/>
  <c r="Q12" i="25"/>
  <c r="O12" i="25"/>
  <c r="L12" i="25"/>
  <c r="I12" i="25"/>
  <c r="V11" i="25"/>
  <c r="R11" i="25"/>
  <c r="O11" i="25"/>
  <c r="L11" i="25"/>
  <c r="I11" i="25"/>
  <c r="V10" i="25"/>
  <c r="U10" i="25"/>
  <c r="T10" i="25"/>
  <c r="R10" i="25"/>
  <c r="O10" i="25"/>
  <c r="L10" i="25"/>
  <c r="I10" i="25"/>
  <c r="W9" i="25"/>
  <c r="V9" i="25"/>
  <c r="U9" i="25"/>
  <c r="T9" i="25"/>
  <c r="S9" i="25"/>
  <c r="R9" i="25"/>
  <c r="Q9" i="25"/>
  <c r="O9" i="25"/>
  <c r="L9" i="25"/>
  <c r="I9" i="25"/>
  <c r="V8" i="25"/>
  <c r="T8" i="25"/>
  <c r="R8" i="25"/>
  <c r="Q8" i="25"/>
  <c r="O8" i="25"/>
  <c r="L8" i="25"/>
  <c r="I8" i="25"/>
  <c r="V7" i="25"/>
  <c r="R7" i="25"/>
  <c r="O7" i="25"/>
  <c r="L7" i="25"/>
  <c r="I7" i="25"/>
  <c r="V6" i="25"/>
  <c r="U6" i="25"/>
  <c r="S6" i="25"/>
  <c r="O6" i="25"/>
  <c r="L6" i="25"/>
  <c r="I6" i="25"/>
  <c r="AA5" i="25"/>
  <c r="I5" i="25"/>
  <c r="H5" i="25"/>
  <c r="G5" i="25"/>
  <c r="F5" i="25"/>
  <c r="E5" i="25"/>
  <c r="D5" i="25"/>
  <c r="C5" i="25"/>
  <c r="B5" i="25"/>
  <c r="D102" i="22"/>
  <c r="C102" i="22"/>
  <c r="B102" i="22"/>
  <c r="B95" i="22"/>
  <c r="B94" i="22"/>
  <c r="B93" i="22"/>
  <c r="I92" i="22"/>
  <c r="U91" i="22"/>
  <c r="B91" i="22"/>
  <c r="B90" i="22"/>
  <c r="U89" i="22"/>
  <c r="B89" i="22"/>
  <c r="I87" i="22"/>
  <c r="F86" i="22"/>
  <c r="I85" i="22"/>
  <c r="F85" i="22"/>
  <c r="Q84" i="22"/>
  <c r="W83" i="22"/>
  <c r="V83" i="22"/>
  <c r="Q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V82" i="22"/>
  <c r="U82" i="22"/>
  <c r="Q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O81" i="22"/>
  <c r="O80" i="22"/>
  <c r="I80" i="22"/>
  <c r="V79" i="22"/>
  <c r="U79" i="22"/>
  <c r="O79" i="22"/>
  <c r="I79" i="22"/>
  <c r="G79" i="22"/>
  <c r="F79" i="22"/>
  <c r="V78" i="22"/>
  <c r="U78" i="22"/>
  <c r="O78" i="22"/>
  <c r="I78" i="22"/>
  <c r="O77" i="22"/>
  <c r="I77" i="22"/>
  <c r="O76" i="22"/>
  <c r="I76" i="22"/>
  <c r="O75" i="22"/>
  <c r="I75" i="22"/>
  <c r="O74" i="22"/>
  <c r="I74" i="22"/>
  <c r="O73" i="22"/>
  <c r="I73" i="22"/>
  <c r="O72" i="22"/>
  <c r="I72" i="22"/>
  <c r="O71" i="22"/>
  <c r="I71" i="22"/>
  <c r="O70" i="22"/>
  <c r="I70" i="22"/>
  <c r="O69" i="22"/>
  <c r="I69" i="22"/>
  <c r="G69" i="22"/>
  <c r="F69" i="22"/>
  <c r="E69" i="22"/>
  <c r="O68" i="22"/>
  <c r="I68" i="22"/>
  <c r="F68" i="22"/>
  <c r="O67" i="22"/>
  <c r="I67" i="22"/>
  <c r="O66" i="22"/>
  <c r="I66" i="22"/>
  <c r="X65" i="22"/>
  <c r="O65" i="22"/>
  <c r="I65" i="22"/>
  <c r="O64" i="22"/>
  <c r="I64" i="22"/>
  <c r="V63" i="22"/>
  <c r="U63" i="22"/>
  <c r="O63" i="22"/>
  <c r="I63" i="22"/>
  <c r="B63" i="22"/>
  <c r="O62" i="22"/>
  <c r="O61" i="22"/>
  <c r="O60" i="22"/>
  <c r="I60" i="22"/>
  <c r="G60" i="22"/>
  <c r="F60" i="22"/>
  <c r="E60" i="22"/>
  <c r="D60" i="22"/>
  <c r="O59" i="22"/>
  <c r="V58" i="22"/>
  <c r="U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O57" i="22"/>
  <c r="I57" i="22"/>
  <c r="F57" i="22"/>
  <c r="O56" i="22"/>
  <c r="I56" i="22"/>
  <c r="O55" i="22"/>
  <c r="I55" i="22"/>
  <c r="O54" i="22"/>
  <c r="I54" i="22"/>
  <c r="O53" i="22"/>
  <c r="I53" i="22"/>
  <c r="O52" i="22"/>
  <c r="I52" i="22"/>
  <c r="O51" i="22"/>
  <c r="I51" i="22"/>
  <c r="O50" i="22"/>
  <c r="I50" i="22"/>
  <c r="O49" i="22"/>
  <c r="I49" i="22"/>
  <c r="O48" i="22"/>
  <c r="Z47" i="22"/>
  <c r="Y47" i="22"/>
  <c r="X47" i="22"/>
  <c r="W47" i="22"/>
  <c r="O47" i="22"/>
  <c r="I47" i="22"/>
  <c r="F47" i="22"/>
  <c r="O46" i="22"/>
  <c r="O45" i="22"/>
  <c r="Q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O42" i="22"/>
  <c r="I42" i="22"/>
  <c r="O41" i="22"/>
  <c r="Q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O39" i="22"/>
  <c r="I39" i="22"/>
  <c r="O38" i="22"/>
  <c r="I38" i="22"/>
  <c r="O37" i="22"/>
  <c r="V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O35" i="22"/>
  <c r="I35" i="22"/>
  <c r="O34" i="22"/>
  <c r="I34" i="22"/>
  <c r="T33" i="22"/>
  <c r="O33" i="22"/>
  <c r="I33" i="22"/>
  <c r="O32" i="22"/>
  <c r="I32" i="22"/>
  <c r="X31" i="22"/>
  <c r="V31" i="22"/>
  <c r="T31" i="22"/>
  <c r="O31" i="22"/>
  <c r="I31" i="22"/>
  <c r="O30" i="22"/>
  <c r="I30" i="22"/>
  <c r="O29" i="22"/>
  <c r="I29" i="22"/>
  <c r="O28" i="22"/>
  <c r="I28" i="22"/>
  <c r="I27" i="22"/>
  <c r="I26" i="22"/>
  <c r="O25" i="22"/>
  <c r="I25" i="22"/>
  <c r="AA24" i="22"/>
  <c r="Y24" i="22"/>
  <c r="W24" i="22"/>
  <c r="O24" i="22"/>
  <c r="I24" i="22"/>
  <c r="R23" i="22"/>
  <c r="O23" i="22"/>
  <c r="I23" i="22"/>
  <c r="W22" i="22"/>
  <c r="V22" i="22"/>
  <c r="U22" i="22"/>
  <c r="T22" i="22"/>
  <c r="S22" i="22"/>
  <c r="R22" i="22"/>
  <c r="O22" i="22"/>
  <c r="I22" i="22"/>
  <c r="W21" i="22"/>
  <c r="V21" i="22"/>
  <c r="U21" i="22"/>
  <c r="T21" i="22"/>
  <c r="S21" i="22"/>
  <c r="R21" i="22"/>
  <c r="P21" i="22"/>
  <c r="W20" i="22"/>
  <c r="U20" i="22"/>
  <c r="S20" i="22"/>
  <c r="R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Z19" i="22"/>
  <c r="W19" i="22"/>
  <c r="S19" i="22"/>
  <c r="O19" i="22"/>
  <c r="I19" i="22"/>
  <c r="F19" i="22"/>
  <c r="W18" i="22"/>
  <c r="O18" i="22"/>
  <c r="W17" i="22"/>
  <c r="O17" i="22"/>
  <c r="W16" i="22"/>
  <c r="O16" i="22"/>
  <c r="W15" i="22"/>
  <c r="O15" i="22"/>
  <c r="W14" i="22"/>
  <c r="U14" i="22"/>
  <c r="S14" i="22"/>
  <c r="O14" i="22"/>
  <c r="I14" i="22"/>
  <c r="Y13" i="22"/>
  <c r="W13" i="22"/>
  <c r="V13" i="22"/>
  <c r="U13" i="22"/>
  <c r="T13" i="22"/>
  <c r="S13" i="22"/>
  <c r="R13" i="22"/>
  <c r="O13" i="22"/>
  <c r="I13" i="22"/>
  <c r="W12" i="22"/>
  <c r="V12" i="22"/>
  <c r="U12" i="22"/>
  <c r="S12" i="22"/>
  <c r="R12" i="22"/>
  <c r="O12" i="22"/>
  <c r="I12" i="22"/>
  <c r="W11" i="22"/>
  <c r="S11" i="22"/>
  <c r="O11" i="22"/>
  <c r="I11" i="22"/>
  <c r="E11" i="22"/>
  <c r="W10" i="22"/>
  <c r="V10" i="22"/>
  <c r="U10" i="22"/>
  <c r="T10" i="22"/>
  <c r="R10" i="22"/>
  <c r="O10" i="22"/>
  <c r="I10" i="22"/>
  <c r="O9" i="22"/>
  <c r="I9" i="22"/>
  <c r="O8" i="22"/>
  <c r="I8" i="22"/>
  <c r="E8" i="22"/>
  <c r="O7" i="22"/>
  <c r="I7" i="22"/>
  <c r="D7" i="22"/>
  <c r="O6" i="22"/>
  <c r="I6" i="22"/>
  <c r="E6" i="22"/>
  <c r="D6" i="22"/>
  <c r="B6" i="22"/>
  <c r="D102" i="4"/>
  <c r="C102" i="4"/>
  <c r="B102" i="4"/>
  <c r="B95" i="4"/>
  <c r="B94" i="4"/>
  <c r="B93" i="4"/>
  <c r="I92" i="4"/>
  <c r="U91" i="4"/>
  <c r="B91" i="4"/>
  <c r="B90" i="4"/>
  <c r="U89" i="4"/>
  <c r="B89" i="4"/>
  <c r="I87" i="4"/>
  <c r="I86" i="4"/>
  <c r="F86" i="4"/>
  <c r="I85" i="4"/>
  <c r="F85" i="4"/>
  <c r="Q84" i="4"/>
  <c r="W83" i="4"/>
  <c r="V83" i="4"/>
  <c r="Q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V82" i="4"/>
  <c r="U82" i="4"/>
  <c r="Q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O81" i="4"/>
  <c r="O80" i="4"/>
  <c r="I80" i="4"/>
  <c r="V79" i="4"/>
  <c r="U79" i="4"/>
  <c r="O79" i="4"/>
  <c r="I79" i="4"/>
  <c r="H79" i="4"/>
  <c r="V78" i="4"/>
  <c r="U78" i="4"/>
  <c r="O78" i="4"/>
  <c r="I78" i="4"/>
  <c r="O77" i="4"/>
  <c r="I77" i="4"/>
  <c r="O76" i="4"/>
  <c r="I76" i="4"/>
  <c r="O75" i="4"/>
  <c r="I75" i="4"/>
  <c r="O74" i="4"/>
  <c r="I74" i="4"/>
  <c r="O73" i="4"/>
  <c r="I73" i="4"/>
  <c r="O72" i="4"/>
  <c r="I72" i="4"/>
  <c r="O71" i="4"/>
  <c r="I71" i="4"/>
  <c r="O70" i="4"/>
  <c r="I70" i="4"/>
  <c r="O69" i="4"/>
  <c r="I69" i="4"/>
  <c r="O68" i="4"/>
  <c r="I68" i="4"/>
  <c r="O67" i="4"/>
  <c r="I67" i="4"/>
  <c r="O66" i="4"/>
  <c r="I66" i="4"/>
  <c r="X65" i="4"/>
  <c r="O65" i="4"/>
  <c r="I65" i="4"/>
  <c r="O64" i="4"/>
  <c r="I64" i="4"/>
  <c r="V63" i="4"/>
  <c r="U63" i="4"/>
  <c r="O63" i="4"/>
  <c r="I63" i="4"/>
  <c r="O62" i="4"/>
  <c r="O61" i="4"/>
  <c r="O60" i="4"/>
  <c r="I60" i="4"/>
  <c r="O59" i="4"/>
  <c r="V58" i="4"/>
  <c r="U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O57" i="4"/>
  <c r="I57" i="4"/>
  <c r="O56" i="4"/>
  <c r="I56" i="4"/>
  <c r="O55" i="4"/>
  <c r="I55" i="4"/>
  <c r="O54" i="4"/>
  <c r="I54" i="4"/>
  <c r="O53" i="4"/>
  <c r="I53" i="4"/>
  <c r="O52" i="4"/>
  <c r="I52" i="4"/>
  <c r="O51" i="4"/>
  <c r="I51" i="4"/>
  <c r="O50" i="4"/>
  <c r="I50" i="4"/>
  <c r="O49" i="4"/>
  <c r="I49" i="4"/>
  <c r="O48" i="4"/>
  <c r="Z47" i="4"/>
  <c r="Y47" i="4"/>
  <c r="X47" i="4"/>
  <c r="W47" i="4"/>
  <c r="O47" i="4"/>
  <c r="I47" i="4"/>
  <c r="F47" i="4"/>
  <c r="O46" i="4"/>
  <c r="O45" i="4"/>
  <c r="Q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O42" i="4"/>
  <c r="I42" i="4"/>
  <c r="O41" i="4"/>
  <c r="Q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O39" i="4"/>
  <c r="I39" i="4"/>
  <c r="O38" i="4"/>
  <c r="I38" i="4"/>
  <c r="O37" i="4"/>
  <c r="V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S35" i="4"/>
  <c r="O35" i="4"/>
  <c r="I35" i="4"/>
  <c r="O34" i="4"/>
  <c r="I34" i="4"/>
  <c r="T33" i="4"/>
  <c r="R33" i="4"/>
  <c r="O33" i="4"/>
  <c r="I33" i="4"/>
  <c r="O32" i="4"/>
  <c r="I32" i="4"/>
  <c r="X31" i="4"/>
  <c r="V31" i="4"/>
  <c r="T31" i="4"/>
  <c r="O31" i="4"/>
  <c r="I31" i="4"/>
  <c r="O30" i="4"/>
  <c r="I30" i="4"/>
  <c r="O29" i="4"/>
  <c r="I29" i="4"/>
  <c r="O28" i="4"/>
  <c r="I28" i="4"/>
  <c r="I27" i="4"/>
  <c r="I26" i="4"/>
  <c r="O25" i="4"/>
  <c r="I25" i="4"/>
  <c r="AA24" i="4"/>
  <c r="Y24" i="4"/>
  <c r="W24" i="4"/>
  <c r="O24" i="4"/>
  <c r="I24" i="4"/>
  <c r="Y23" i="4"/>
  <c r="X23" i="4"/>
  <c r="W23" i="4"/>
  <c r="V23" i="4"/>
  <c r="U23" i="4"/>
  <c r="R23" i="4"/>
  <c r="O23" i="4"/>
  <c r="I23" i="4"/>
  <c r="W22" i="4"/>
  <c r="V22" i="4"/>
  <c r="U22" i="4"/>
  <c r="T22" i="4"/>
  <c r="S22" i="4"/>
  <c r="R22" i="4"/>
  <c r="O22" i="4"/>
  <c r="I22" i="4"/>
  <c r="W21" i="4"/>
  <c r="V21" i="4"/>
  <c r="U21" i="4"/>
  <c r="T21" i="4"/>
  <c r="S21" i="4"/>
  <c r="R21" i="4"/>
  <c r="P21" i="4"/>
  <c r="W20" i="4"/>
  <c r="U20" i="4"/>
  <c r="S20" i="4"/>
  <c r="R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Z19" i="4"/>
  <c r="W19" i="4"/>
  <c r="S19" i="4"/>
  <c r="O19" i="4"/>
  <c r="I19" i="4"/>
  <c r="W18" i="4"/>
  <c r="O18" i="4"/>
  <c r="W17" i="4"/>
  <c r="O17" i="4"/>
  <c r="W16" i="4"/>
  <c r="O16" i="4"/>
  <c r="W15" i="4"/>
  <c r="O15" i="4"/>
  <c r="W14" i="4"/>
  <c r="V14" i="4"/>
  <c r="U14" i="4"/>
  <c r="S14" i="4"/>
  <c r="O14" i="4"/>
  <c r="I14" i="4"/>
  <c r="Y13" i="4"/>
  <c r="W13" i="4"/>
  <c r="V13" i="4"/>
  <c r="U13" i="4"/>
  <c r="T13" i="4"/>
  <c r="S13" i="4"/>
  <c r="R13" i="4"/>
  <c r="O13" i="4"/>
  <c r="I13" i="4"/>
  <c r="W12" i="4"/>
  <c r="V12" i="4"/>
  <c r="U12" i="4"/>
  <c r="S12" i="4"/>
  <c r="R12" i="4"/>
  <c r="O12" i="4"/>
  <c r="I12" i="4"/>
  <c r="W11" i="4"/>
  <c r="U11" i="4"/>
  <c r="S11" i="4"/>
  <c r="O11" i="4"/>
  <c r="I11" i="4"/>
  <c r="W10" i="4"/>
  <c r="V10" i="4"/>
  <c r="U10" i="4"/>
  <c r="T10" i="4"/>
  <c r="R10" i="4"/>
  <c r="O10" i="4"/>
  <c r="I10" i="4"/>
  <c r="O9" i="4"/>
  <c r="I9" i="4"/>
  <c r="O8" i="4"/>
  <c r="I8" i="4"/>
  <c r="O7" i="4"/>
  <c r="I7" i="4"/>
  <c r="O6" i="4"/>
  <c r="I6" i="4"/>
  <c r="K154" i="21"/>
  <c r="K153" i="21"/>
  <c r="K150" i="21"/>
  <c r="F150" i="21"/>
  <c r="E150" i="21"/>
  <c r="D150" i="21"/>
  <c r="G149" i="21"/>
  <c r="F149" i="21"/>
  <c r="E149" i="21"/>
  <c r="D149" i="21"/>
  <c r="G148" i="21"/>
  <c r="F148" i="21"/>
  <c r="E148" i="21"/>
  <c r="D148" i="21"/>
  <c r="K147" i="21"/>
  <c r="F147" i="21"/>
  <c r="E147" i="21"/>
  <c r="D147" i="21"/>
  <c r="K146" i="21"/>
  <c r="F146" i="21"/>
  <c r="E146" i="21"/>
  <c r="D146" i="21"/>
  <c r="L145" i="21"/>
  <c r="K145" i="21"/>
  <c r="G145" i="21"/>
  <c r="F145" i="21"/>
  <c r="D145" i="21"/>
  <c r="D142" i="21"/>
  <c r="F141" i="21"/>
  <c r="E141" i="21"/>
  <c r="D141" i="21"/>
  <c r="D140" i="21"/>
  <c r="G138" i="21"/>
  <c r="F138" i="21"/>
  <c r="E138" i="21"/>
  <c r="D138" i="21"/>
  <c r="F137" i="21"/>
  <c r="E137" i="21"/>
  <c r="D137" i="21"/>
  <c r="D136" i="21"/>
  <c r="W135" i="21"/>
  <c r="K135" i="21"/>
  <c r="G135" i="21"/>
  <c r="F135" i="21"/>
  <c r="E135" i="21"/>
  <c r="D135" i="21"/>
  <c r="C135" i="21"/>
  <c r="B135" i="21"/>
  <c r="G134" i="21"/>
  <c r="F134" i="21"/>
  <c r="E134" i="21"/>
  <c r="D134" i="21"/>
  <c r="C134" i="21"/>
  <c r="B134" i="21"/>
  <c r="G132" i="21"/>
  <c r="Y130" i="21"/>
  <c r="W130" i="21"/>
  <c r="V130" i="21"/>
  <c r="U130" i="21"/>
  <c r="G130" i="21"/>
  <c r="F130" i="21"/>
  <c r="E130" i="21"/>
  <c r="D130" i="21"/>
  <c r="C130" i="21"/>
  <c r="B130" i="21"/>
  <c r="J129" i="21"/>
  <c r="G129" i="21"/>
  <c r="J128" i="21"/>
  <c r="G128" i="21"/>
  <c r="J127" i="21"/>
  <c r="G127" i="21"/>
  <c r="J126" i="21"/>
  <c r="G126" i="21"/>
  <c r="C126" i="21"/>
  <c r="J125" i="21"/>
  <c r="G125" i="21"/>
  <c r="Y124" i="21"/>
  <c r="X124" i="21"/>
  <c r="W124" i="21"/>
  <c r="V124" i="21"/>
  <c r="U124" i="21"/>
  <c r="G124" i="21"/>
  <c r="F124" i="21"/>
  <c r="E124" i="21"/>
  <c r="D124" i="21"/>
  <c r="C124" i="21"/>
  <c r="B124" i="21"/>
  <c r="J123" i="21"/>
  <c r="G123" i="21"/>
  <c r="J122" i="21"/>
  <c r="G122" i="21"/>
  <c r="C122" i="21"/>
  <c r="K121" i="21"/>
  <c r="J121" i="21"/>
  <c r="G121" i="21"/>
  <c r="J120" i="21"/>
  <c r="G120" i="21"/>
  <c r="J119" i="21"/>
  <c r="G119" i="21"/>
  <c r="J118" i="21"/>
  <c r="G118" i="21"/>
  <c r="J117" i="21"/>
  <c r="G117" i="21"/>
  <c r="E117" i="21"/>
  <c r="J116" i="21"/>
  <c r="G116" i="21"/>
  <c r="J115" i="21"/>
  <c r="G115" i="21"/>
  <c r="F115" i="21"/>
  <c r="E115" i="21"/>
  <c r="D115" i="21"/>
  <c r="C115" i="21"/>
  <c r="J114" i="21"/>
  <c r="G114" i="21"/>
  <c r="J113" i="21"/>
  <c r="G113" i="21"/>
  <c r="K112" i="21"/>
  <c r="H112" i="21"/>
  <c r="G112" i="21"/>
  <c r="F112" i="21"/>
  <c r="E112" i="21"/>
  <c r="D112" i="21"/>
  <c r="C112" i="21"/>
  <c r="B112" i="21"/>
  <c r="Y111" i="21"/>
  <c r="X111" i="21"/>
  <c r="W111" i="21"/>
  <c r="V111" i="21"/>
  <c r="U111" i="21"/>
  <c r="G111" i="21"/>
  <c r="F111" i="21"/>
  <c r="E111" i="21"/>
  <c r="D111" i="21"/>
  <c r="C111" i="21"/>
  <c r="B111" i="21"/>
  <c r="J110" i="21"/>
  <c r="G110" i="21"/>
  <c r="J109" i="21"/>
  <c r="G109" i="21"/>
  <c r="J108" i="21"/>
  <c r="G108" i="21"/>
  <c r="J107" i="21"/>
  <c r="G107" i="21"/>
  <c r="J106" i="21"/>
  <c r="G106" i="21"/>
  <c r="J105" i="21"/>
  <c r="G105" i="21"/>
  <c r="J104" i="21"/>
  <c r="G104" i="21"/>
  <c r="D104" i="21"/>
  <c r="C104" i="21"/>
  <c r="J103" i="21"/>
  <c r="G103" i="21"/>
  <c r="J102" i="21"/>
  <c r="G102" i="21"/>
  <c r="J101" i="21"/>
  <c r="G101" i="21"/>
  <c r="D101" i="21"/>
  <c r="C101" i="21"/>
  <c r="J100" i="21"/>
  <c r="G100" i="21"/>
  <c r="J99" i="21"/>
  <c r="G99" i="21"/>
  <c r="Y98" i="21"/>
  <c r="X98" i="21"/>
  <c r="W98" i="21"/>
  <c r="V98" i="21"/>
  <c r="U98" i="21"/>
  <c r="J98" i="21"/>
  <c r="G98" i="21"/>
  <c r="F98" i="21"/>
  <c r="E98" i="21"/>
  <c r="D98" i="21"/>
  <c r="C98" i="21"/>
  <c r="B98" i="21"/>
  <c r="J97" i="21"/>
  <c r="G97" i="21"/>
  <c r="F97" i="21"/>
  <c r="E97" i="21"/>
  <c r="D97" i="21"/>
  <c r="J96" i="21"/>
  <c r="J95" i="21"/>
  <c r="J94" i="21"/>
  <c r="G94" i="21"/>
  <c r="J93" i="21"/>
  <c r="G93" i="21"/>
  <c r="J92" i="21"/>
  <c r="G92" i="21"/>
  <c r="J91" i="21"/>
  <c r="G91" i="21"/>
  <c r="D91" i="21"/>
  <c r="C91" i="21"/>
  <c r="J90" i="21"/>
  <c r="G90" i="21"/>
  <c r="J89" i="21"/>
  <c r="G89" i="21"/>
  <c r="J88" i="21"/>
  <c r="G88" i="21"/>
  <c r="J87" i="21"/>
  <c r="G87" i="21"/>
  <c r="J86" i="21"/>
  <c r="J85" i="21"/>
  <c r="J84" i="21"/>
  <c r="J83" i="21"/>
  <c r="J82" i="21"/>
  <c r="J81" i="21"/>
  <c r="J80" i="21"/>
  <c r="J79" i="21"/>
  <c r="G79" i="21"/>
  <c r="F79" i="21"/>
  <c r="E79" i="21"/>
  <c r="D79" i="21"/>
  <c r="C79" i="21"/>
  <c r="W78" i="21"/>
  <c r="K78" i="21"/>
  <c r="G78" i="21"/>
  <c r="F78" i="21"/>
  <c r="E78" i="21"/>
  <c r="D78" i="21"/>
  <c r="C78" i="21"/>
  <c r="B78" i="21"/>
  <c r="G77" i="21"/>
  <c r="F77" i="21"/>
  <c r="E77" i="21"/>
  <c r="D77" i="21"/>
  <c r="C77" i="21"/>
  <c r="B77" i="21"/>
  <c r="G75" i="21"/>
  <c r="Y73" i="21"/>
  <c r="X73" i="21"/>
  <c r="W73" i="21"/>
  <c r="V73" i="21"/>
  <c r="U73" i="21"/>
  <c r="G73" i="21"/>
  <c r="F73" i="21"/>
  <c r="E73" i="21"/>
  <c r="D73" i="21"/>
  <c r="C73" i="21"/>
  <c r="B73" i="21"/>
  <c r="J72" i="21"/>
  <c r="G72" i="21"/>
  <c r="J71" i="21"/>
  <c r="G71" i="21"/>
  <c r="J70" i="21"/>
  <c r="G70" i="21"/>
  <c r="J69" i="21"/>
  <c r="G69" i="21"/>
  <c r="J68" i="21"/>
  <c r="G68" i="21"/>
  <c r="J67" i="21"/>
  <c r="G67" i="21"/>
  <c r="J66" i="21"/>
  <c r="G66" i="21"/>
  <c r="J65" i="21"/>
  <c r="G65" i="21"/>
  <c r="J64" i="21"/>
  <c r="G64" i="21"/>
  <c r="J63" i="21"/>
  <c r="G63" i="21"/>
  <c r="Y62" i="21"/>
  <c r="X62" i="21"/>
  <c r="W62" i="21"/>
  <c r="V62" i="21"/>
  <c r="U62" i="21"/>
  <c r="G62" i="21"/>
  <c r="F62" i="21"/>
  <c r="E62" i="21"/>
  <c r="D62" i="21"/>
  <c r="C62" i="21"/>
  <c r="B62" i="21"/>
  <c r="J61" i="21"/>
  <c r="G61" i="21"/>
  <c r="J60" i="21"/>
  <c r="G60" i="21"/>
  <c r="E60" i="21"/>
  <c r="J59" i="21"/>
  <c r="G59" i="21"/>
  <c r="M58" i="21"/>
  <c r="J58" i="21"/>
  <c r="G58" i="21"/>
  <c r="J57" i="21"/>
  <c r="G57" i="21"/>
  <c r="J56" i="21"/>
  <c r="G56" i="21"/>
  <c r="J55" i="21"/>
  <c r="G55" i="21"/>
  <c r="J54" i="21"/>
  <c r="G54" i="21"/>
  <c r="F54" i="21"/>
  <c r="E54" i="21"/>
  <c r="D54" i="21"/>
  <c r="C54" i="21"/>
  <c r="P53" i="21"/>
  <c r="J53" i="21"/>
  <c r="G53" i="21"/>
  <c r="P52" i="21"/>
  <c r="O52" i="21"/>
  <c r="J52" i="21"/>
  <c r="G52" i="21"/>
  <c r="Z51" i="21"/>
  <c r="W51" i="21"/>
  <c r="P51" i="21"/>
  <c r="O51" i="21"/>
  <c r="M51" i="21"/>
  <c r="G51" i="21"/>
  <c r="F51" i="21"/>
  <c r="E51" i="21"/>
  <c r="D51" i="21"/>
  <c r="C51" i="21"/>
  <c r="B51" i="21"/>
  <c r="P50" i="21"/>
  <c r="G50" i="21"/>
  <c r="F50" i="21"/>
  <c r="E50" i="21"/>
  <c r="D50" i="21"/>
  <c r="C50" i="21"/>
  <c r="B50" i="21"/>
  <c r="P49" i="21"/>
  <c r="O49" i="21"/>
  <c r="N49" i="21"/>
  <c r="M49" i="21"/>
  <c r="G49" i="21"/>
  <c r="P48" i="21"/>
  <c r="O48" i="21"/>
  <c r="X47" i="21"/>
  <c r="W47" i="21"/>
  <c r="U47" i="21"/>
  <c r="P47" i="21"/>
  <c r="O47" i="21"/>
  <c r="G47" i="21"/>
  <c r="F47" i="21"/>
  <c r="E47" i="21"/>
  <c r="D47" i="21"/>
  <c r="C47" i="21"/>
  <c r="B47" i="21"/>
  <c r="G46" i="21"/>
  <c r="G45" i="21"/>
  <c r="G44" i="21"/>
  <c r="Y42" i="21"/>
  <c r="X42" i="21"/>
  <c r="W42" i="21"/>
  <c r="V42" i="21"/>
  <c r="U42" i="21"/>
  <c r="G42" i="21"/>
  <c r="F42" i="21"/>
  <c r="E42" i="21"/>
  <c r="D42" i="21"/>
  <c r="C42" i="21"/>
  <c r="B42" i="21"/>
  <c r="J41" i="21"/>
  <c r="G41" i="21"/>
  <c r="J40" i="21"/>
  <c r="G40" i="21"/>
  <c r="D40" i="21"/>
  <c r="C40" i="21"/>
  <c r="J39" i="21"/>
  <c r="G39" i="21"/>
  <c r="F39" i="21"/>
  <c r="E39" i="21"/>
  <c r="J38" i="21"/>
  <c r="G38" i="21"/>
  <c r="J37" i="21"/>
  <c r="G37" i="21"/>
  <c r="J36" i="21"/>
  <c r="G36" i="21"/>
  <c r="J35" i="21"/>
  <c r="G35" i="21"/>
  <c r="F35" i="21"/>
  <c r="J34" i="21"/>
  <c r="G34" i="21"/>
  <c r="J33" i="21"/>
  <c r="G33" i="21"/>
  <c r="J32" i="21"/>
  <c r="G32" i="21"/>
  <c r="F32" i="21"/>
  <c r="E32" i="21"/>
  <c r="D32" i="21"/>
  <c r="C32" i="21"/>
  <c r="R31" i="21"/>
  <c r="Q31" i="21"/>
  <c r="P31" i="21"/>
  <c r="O31" i="21"/>
  <c r="N31" i="21"/>
  <c r="M31" i="21"/>
  <c r="J31" i="21"/>
  <c r="G31" i="21"/>
  <c r="F31" i="21"/>
  <c r="C31" i="21"/>
  <c r="Y30" i="21"/>
  <c r="X30" i="21"/>
  <c r="W30" i="21"/>
  <c r="R30" i="21"/>
  <c r="Q30" i="21"/>
  <c r="P30" i="21"/>
  <c r="O30" i="21"/>
  <c r="N30" i="21"/>
  <c r="M30" i="21"/>
  <c r="H30" i="21"/>
  <c r="G30" i="21"/>
  <c r="F30" i="21"/>
  <c r="E30" i="21"/>
  <c r="D30" i="21"/>
  <c r="C30" i="21"/>
  <c r="B30" i="21"/>
  <c r="Y29" i="21"/>
  <c r="W29" i="21"/>
  <c r="V29" i="21"/>
  <c r="U29" i="21"/>
  <c r="R29" i="21"/>
  <c r="N29" i="21"/>
  <c r="M29" i="21"/>
  <c r="G29" i="21"/>
  <c r="F29" i="21"/>
  <c r="E29" i="21"/>
  <c r="D29" i="21"/>
  <c r="C29" i="21"/>
  <c r="B29" i="21"/>
  <c r="Y28" i="21"/>
  <c r="R28" i="21"/>
  <c r="N28" i="21"/>
  <c r="G28" i="21"/>
  <c r="Y27" i="21"/>
  <c r="R27" i="21"/>
  <c r="Q27" i="21"/>
  <c r="P27" i="21"/>
  <c r="N27" i="21"/>
  <c r="G27" i="21"/>
  <c r="Y26" i="21"/>
  <c r="R26" i="21"/>
  <c r="Q26" i="21"/>
  <c r="P26" i="21"/>
  <c r="O26" i="21"/>
  <c r="N26" i="21"/>
  <c r="M26" i="21"/>
  <c r="G26" i="21"/>
  <c r="Y25" i="21"/>
  <c r="R25" i="21"/>
  <c r="Q25" i="21"/>
  <c r="P25" i="21"/>
  <c r="O25" i="21"/>
  <c r="N25" i="21"/>
  <c r="M25" i="21"/>
  <c r="G25" i="21"/>
  <c r="R24" i="21"/>
  <c r="N24" i="21"/>
  <c r="M24" i="21"/>
  <c r="R23" i="21"/>
  <c r="G23" i="21"/>
  <c r="F23" i="21"/>
  <c r="E23" i="21"/>
  <c r="D23" i="21"/>
  <c r="R22" i="21"/>
  <c r="R21" i="21"/>
  <c r="Y20" i="21"/>
  <c r="X20" i="21"/>
  <c r="W20" i="21"/>
  <c r="V20" i="21"/>
  <c r="U20" i="21"/>
  <c r="R20" i="21"/>
  <c r="N20" i="21"/>
  <c r="K20" i="21"/>
  <c r="G20" i="21"/>
  <c r="F20" i="21"/>
  <c r="E20" i="21"/>
  <c r="D20" i="21"/>
  <c r="C20" i="21"/>
  <c r="B20" i="21"/>
  <c r="R19" i="21"/>
  <c r="Q19" i="21"/>
  <c r="O19" i="21"/>
  <c r="J19" i="21"/>
  <c r="G19" i="21"/>
  <c r="J18" i="21"/>
  <c r="G18" i="21"/>
  <c r="J17" i="21"/>
  <c r="G17" i="21"/>
  <c r="J16" i="21"/>
  <c r="G16" i="21"/>
  <c r="S15" i="21"/>
  <c r="J15" i="21"/>
  <c r="G15" i="21"/>
  <c r="R14" i="21"/>
  <c r="Q14" i="21"/>
  <c r="P14" i="21"/>
  <c r="O14" i="21"/>
  <c r="N14" i="21"/>
  <c r="M14" i="21"/>
  <c r="J14" i="21"/>
  <c r="G14" i="21"/>
  <c r="R13" i="21"/>
  <c r="Q13" i="21"/>
  <c r="P13" i="21"/>
  <c r="O13" i="21"/>
  <c r="N13" i="21"/>
  <c r="M13" i="21"/>
  <c r="J13" i="21"/>
  <c r="G13" i="21"/>
  <c r="E13" i="21"/>
  <c r="R12" i="21"/>
  <c r="P12" i="21"/>
  <c r="N12" i="21"/>
  <c r="M12" i="21"/>
  <c r="J12" i="21"/>
  <c r="G12" i="21"/>
  <c r="R11" i="21"/>
  <c r="N11" i="21"/>
  <c r="J11" i="21"/>
  <c r="G11" i="21"/>
  <c r="R10" i="21"/>
  <c r="Q10" i="21"/>
  <c r="P10" i="21"/>
  <c r="N10" i="21"/>
  <c r="J10" i="21"/>
  <c r="G10" i="21"/>
  <c r="R9" i="21"/>
  <c r="Q9" i="21"/>
  <c r="P9" i="21"/>
  <c r="O9" i="21"/>
  <c r="N9" i="21"/>
  <c r="M9" i="21"/>
  <c r="J9" i="21"/>
  <c r="G9" i="21"/>
  <c r="E9" i="21"/>
  <c r="R8" i="21"/>
  <c r="P8" i="21"/>
  <c r="N8" i="21"/>
  <c r="M8" i="21"/>
  <c r="J8" i="21"/>
  <c r="G8" i="21"/>
  <c r="R7" i="21"/>
  <c r="N7" i="21"/>
  <c r="J7" i="21"/>
  <c r="G7" i="21"/>
  <c r="R6" i="21"/>
  <c r="Q6" i="21"/>
  <c r="O6" i="21"/>
  <c r="J6" i="21"/>
  <c r="G6" i="21"/>
  <c r="W5" i="21"/>
  <c r="G5" i="21"/>
  <c r="F5" i="21"/>
  <c r="E5" i="21"/>
  <c r="D5" i="21"/>
  <c r="C5" i="21"/>
  <c r="B5" i="21"/>
  <c r="K155" i="1"/>
  <c r="K154" i="1"/>
  <c r="N153" i="1"/>
  <c r="K151" i="1"/>
  <c r="F151" i="1"/>
  <c r="E151" i="1"/>
  <c r="D151" i="1"/>
  <c r="G150" i="1"/>
  <c r="F150" i="1"/>
  <c r="E150" i="1"/>
  <c r="D150" i="1"/>
  <c r="G149" i="1"/>
  <c r="F149" i="1"/>
  <c r="E149" i="1"/>
  <c r="D149" i="1"/>
  <c r="K148" i="1"/>
  <c r="F148" i="1"/>
  <c r="E148" i="1"/>
  <c r="D148" i="1"/>
  <c r="L147" i="1"/>
  <c r="K147" i="1"/>
  <c r="F147" i="1"/>
  <c r="E147" i="1"/>
  <c r="D147" i="1"/>
  <c r="K146" i="1"/>
  <c r="G146" i="1"/>
  <c r="F146" i="1"/>
  <c r="D146" i="1"/>
  <c r="D143" i="1"/>
  <c r="F142" i="1"/>
  <c r="E142" i="1"/>
  <c r="D142" i="1"/>
  <c r="D141" i="1"/>
  <c r="G139" i="1"/>
  <c r="F139" i="1"/>
  <c r="E139" i="1"/>
  <c r="D139" i="1"/>
  <c r="F138" i="1"/>
  <c r="E138" i="1"/>
  <c r="D138" i="1"/>
  <c r="D137" i="1"/>
  <c r="X136" i="1"/>
  <c r="K136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3" i="1"/>
  <c r="Z131" i="1"/>
  <c r="X131" i="1"/>
  <c r="W131" i="1"/>
  <c r="V131" i="1"/>
  <c r="N131" i="1"/>
  <c r="G131" i="1"/>
  <c r="F131" i="1"/>
  <c r="E131" i="1"/>
  <c r="D131" i="1"/>
  <c r="C131" i="1"/>
  <c r="B131" i="1"/>
  <c r="P130" i="1"/>
  <c r="O130" i="1"/>
  <c r="M130" i="1"/>
  <c r="J130" i="1"/>
  <c r="G130" i="1"/>
  <c r="J129" i="1"/>
  <c r="G129" i="1"/>
  <c r="N128" i="1"/>
  <c r="M128" i="1"/>
  <c r="J128" i="1"/>
  <c r="G128" i="1"/>
  <c r="M127" i="1"/>
  <c r="J127" i="1"/>
  <c r="G127" i="1"/>
  <c r="O126" i="1"/>
  <c r="N126" i="1"/>
  <c r="J126" i="1"/>
  <c r="G126" i="1"/>
  <c r="Z125" i="1"/>
  <c r="Y125" i="1"/>
  <c r="X125" i="1"/>
  <c r="W125" i="1"/>
  <c r="V125" i="1"/>
  <c r="M125" i="1"/>
  <c r="G125" i="1"/>
  <c r="F125" i="1"/>
  <c r="E125" i="1"/>
  <c r="D125" i="1"/>
  <c r="C125" i="1"/>
  <c r="B125" i="1"/>
  <c r="N124" i="1"/>
  <c r="M124" i="1"/>
  <c r="J124" i="1"/>
  <c r="G124" i="1"/>
  <c r="N123" i="1"/>
  <c r="M123" i="1"/>
  <c r="J123" i="1"/>
  <c r="G123" i="1"/>
  <c r="C123" i="1"/>
  <c r="K122" i="1"/>
  <c r="J122" i="1"/>
  <c r="G122" i="1"/>
  <c r="N121" i="1"/>
  <c r="M121" i="1"/>
  <c r="J121" i="1"/>
  <c r="G121" i="1"/>
  <c r="J120" i="1"/>
  <c r="G120" i="1"/>
  <c r="J119" i="1"/>
  <c r="G119" i="1"/>
  <c r="J118" i="1"/>
  <c r="G118" i="1"/>
  <c r="J117" i="1"/>
  <c r="G117" i="1"/>
  <c r="J116" i="1"/>
  <c r="G116" i="1"/>
  <c r="D116" i="1"/>
  <c r="J115" i="1"/>
  <c r="G115" i="1"/>
  <c r="J114" i="1"/>
  <c r="G114" i="1"/>
  <c r="K113" i="1"/>
  <c r="H113" i="1"/>
  <c r="G113" i="1"/>
  <c r="F113" i="1"/>
  <c r="E113" i="1"/>
  <c r="D113" i="1"/>
  <c r="C113" i="1"/>
  <c r="B113" i="1"/>
  <c r="Z112" i="1"/>
  <c r="Y112" i="1"/>
  <c r="X112" i="1"/>
  <c r="W112" i="1"/>
  <c r="V112" i="1"/>
  <c r="N112" i="1"/>
  <c r="G112" i="1"/>
  <c r="F112" i="1"/>
  <c r="E112" i="1"/>
  <c r="D112" i="1"/>
  <c r="C112" i="1"/>
  <c r="B112" i="1"/>
  <c r="J111" i="1"/>
  <c r="G111" i="1"/>
  <c r="D111" i="1"/>
  <c r="J110" i="1"/>
  <c r="G110" i="1"/>
  <c r="J109" i="1"/>
  <c r="G109" i="1"/>
  <c r="J108" i="1"/>
  <c r="G108" i="1"/>
  <c r="J107" i="1"/>
  <c r="G107" i="1"/>
  <c r="F107" i="1"/>
  <c r="C107" i="1"/>
  <c r="J106" i="1"/>
  <c r="G106" i="1"/>
  <c r="J105" i="1"/>
  <c r="G105" i="1"/>
  <c r="J104" i="1"/>
  <c r="G104" i="1"/>
  <c r="J103" i="1"/>
  <c r="G103" i="1"/>
  <c r="F103" i="1"/>
  <c r="J102" i="1"/>
  <c r="G102" i="1"/>
  <c r="J101" i="1"/>
  <c r="G101" i="1"/>
  <c r="J100" i="1"/>
  <c r="G100" i="1"/>
  <c r="Z99" i="1"/>
  <c r="Y99" i="1"/>
  <c r="X99" i="1"/>
  <c r="W99" i="1"/>
  <c r="V99" i="1"/>
  <c r="J99" i="1"/>
  <c r="G99" i="1"/>
  <c r="F99" i="1"/>
  <c r="E99" i="1"/>
  <c r="D99" i="1"/>
  <c r="C99" i="1"/>
  <c r="B99" i="1"/>
  <c r="J98" i="1"/>
  <c r="G98" i="1"/>
  <c r="F98" i="1"/>
  <c r="E98" i="1"/>
  <c r="D98" i="1"/>
  <c r="J97" i="1"/>
  <c r="J96" i="1"/>
  <c r="J95" i="1"/>
  <c r="G95" i="1"/>
  <c r="J94" i="1"/>
  <c r="G94" i="1"/>
  <c r="J93" i="1"/>
  <c r="G93" i="1"/>
  <c r="D93" i="1"/>
  <c r="C93" i="1"/>
  <c r="J92" i="1"/>
  <c r="G92" i="1"/>
  <c r="C92" i="1"/>
  <c r="B92" i="1"/>
  <c r="J91" i="1"/>
  <c r="G91" i="1"/>
  <c r="J90" i="1"/>
  <c r="G90" i="1"/>
  <c r="J89" i="1"/>
  <c r="G89" i="1"/>
  <c r="J88" i="1"/>
  <c r="G88" i="1"/>
  <c r="J87" i="1"/>
  <c r="J86" i="1"/>
  <c r="J85" i="1"/>
  <c r="J84" i="1"/>
  <c r="J83" i="1"/>
  <c r="J82" i="1"/>
  <c r="J81" i="1"/>
  <c r="J80" i="1"/>
  <c r="G80" i="1"/>
  <c r="D80" i="1"/>
  <c r="C80" i="1"/>
  <c r="X79" i="1"/>
  <c r="K79" i="1"/>
  <c r="G79" i="1"/>
  <c r="F79" i="1"/>
  <c r="E79" i="1"/>
  <c r="D79" i="1"/>
  <c r="C79" i="1"/>
  <c r="B79" i="1"/>
  <c r="G78" i="1"/>
  <c r="F78" i="1"/>
  <c r="E78" i="1"/>
  <c r="D78" i="1"/>
  <c r="C78" i="1"/>
  <c r="B78" i="1"/>
  <c r="G76" i="1"/>
  <c r="Z74" i="1"/>
  <c r="Y74" i="1"/>
  <c r="X74" i="1"/>
  <c r="W74" i="1"/>
  <c r="V74" i="1"/>
  <c r="G74" i="1"/>
  <c r="F74" i="1"/>
  <c r="E74" i="1"/>
  <c r="D74" i="1"/>
  <c r="C74" i="1"/>
  <c r="B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Z63" i="1"/>
  <c r="Y63" i="1"/>
  <c r="X63" i="1"/>
  <c r="W63" i="1"/>
  <c r="V63" i="1"/>
  <c r="N63" i="1"/>
  <c r="G63" i="1"/>
  <c r="F63" i="1"/>
  <c r="E63" i="1"/>
  <c r="D63" i="1"/>
  <c r="C63" i="1"/>
  <c r="B63" i="1"/>
  <c r="J62" i="1"/>
  <c r="G62" i="1"/>
  <c r="J61" i="1"/>
  <c r="G61" i="1"/>
  <c r="J60" i="1"/>
  <c r="G60" i="1"/>
  <c r="N59" i="1"/>
  <c r="J59" i="1"/>
  <c r="G59" i="1"/>
  <c r="J58" i="1"/>
  <c r="G58" i="1"/>
  <c r="J57" i="1"/>
  <c r="G57" i="1"/>
  <c r="J56" i="1"/>
  <c r="G56" i="1"/>
  <c r="J55" i="1"/>
  <c r="G55" i="1"/>
  <c r="F55" i="1"/>
  <c r="J54" i="1"/>
  <c r="G54" i="1"/>
  <c r="C54" i="1"/>
  <c r="Q53" i="1"/>
  <c r="J53" i="1"/>
  <c r="G53" i="1"/>
  <c r="Q52" i="1"/>
  <c r="P52" i="1"/>
  <c r="J52" i="1"/>
  <c r="G52" i="1"/>
  <c r="AA51" i="1"/>
  <c r="X51" i="1"/>
  <c r="Q51" i="1"/>
  <c r="P51" i="1"/>
  <c r="N51" i="1"/>
  <c r="G51" i="1"/>
  <c r="F51" i="1"/>
  <c r="E51" i="1"/>
  <c r="D51" i="1"/>
  <c r="C51" i="1"/>
  <c r="B51" i="1"/>
  <c r="Q50" i="1"/>
  <c r="G50" i="1"/>
  <c r="F50" i="1"/>
  <c r="E50" i="1"/>
  <c r="D50" i="1"/>
  <c r="C50" i="1"/>
  <c r="B50" i="1"/>
  <c r="Q49" i="1"/>
  <c r="P49" i="1"/>
  <c r="O49" i="1"/>
  <c r="N49" i="1"/>
  <c r="G49" i="1"/>
  <c r="Q48" i="1"/>
  <c r="P48" i="1"/>
  <c r="Y47" i="1"/>
  <c r="X47" i="1"/>
  <c r="V47" i="1"/>
  <c r="Q47" i="1"/>
  <c r="P47" i="1"/>
  <c r="G47" i="1"/>
  <c r="F47" i="1"/>
  <c r="E47" i="1"/>
  <c r="D47" i="1"/>
  <c r="C47" i="1"/>
  <c r="B47" i="1"/>
  <c r="G46" i="1"/>
  <c r="G45" i="1"/>
  <c r="G44" i="1"/>
  <c r="Z42" i="1"/>
  <c r="Y42" i="1"/>
  <c r="X42" i="1"/>
  <c r="W42" i="1"/>
  <c r="V42" i="1"/>
  <c r="L42" i="1"/>
  <c r="G42" i="1"/>
  <c r="F42" i="1"/>
  <c r="E42" i="1"/>
  <c r="D42" i="1"/>
  <c r="C42" i="1"/>
  <c r="B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B35" i="1"/>
  <c r="J34" i="1"/>
  <c r="G34" i="1"/>
  <c r="J33" i="1"/>
  <c r="G33" i="1"/>
  <c r="J32" i="1"/>
  <c r="G32" i="1"/>
  <c r="B32" i="1"/>
  <c r="S31" i="1"/>
  <c r="R31" i="1"/>
  <c r="Q31" i="1"/>
  <c r="P31" i="1"/>
  <c r="O31" i="1"/>
  <c r="N31" i="1"/>
  <c r="J31" i="1"/>
  <c r="G31" i="1"/>
  <c r="D31" i="1"/>
  <c r="C31" i="1"/>
  <c r="B31" i="1"/>
  <c r="Z30" i="1"/>
  <c r="Y30" i="1"/>
  <c r="X30" i="1"/>
  <c r="S30" i="1"/>
  <c r="R30" i="1"/>
  <c r="Q30" i="1"/>
  <c r="P30" i="1"/>
  <c r="O30" i="1"/>
  <c r="N30" i="1"/>
  <c r="H30" i="1"/>
  <c r="G30" i="1"/>
  <c r="F30" i="1"/>
  <c r="E30" i="1"/>
  <c r="D30" i="1"/>
  <c r="C30" i="1"/>
  <c r="B30" i="1"/>
  <c r="Z29" i="1"/>
  <c r="X29" i="1"/>
  <c r="W29" i="1"/>
  <c r="V29" i="1"/>
  <c r="S29" i="1"/>
  <c r="O29" i="1"/>
  <c r="N29" i="1"/>
  <c r="G29" i="1"/>
  <c r="F29" i="1"/>
  <c r="E29" i="1"/>
  <c r="D29" i="1"/>
  <c r="C29" i="1"/>
  <c r="B29" i="1"/>
  <c r="Z28" i="1"/>
  <c r="S28" i="1"/>
  <c r="O28" i="1"/>
  <c r="G28" i="1"/>
  <c r="Z27" i="1"/>
  <c r="S27" i="1"/>
  <c r="R27" i="1"/>
  <c r="Q27" i="1"/>
  <c r="O27" i="1"/>
  <c r="G27" i="1"/>
  <c r="Z26" i="1"/>
  <c r="S26" i="1"/>
  <c r="R26" i="1"/>
  <c r="Q26" i="1"/>
  <c r="P26" i="1"/>
  <c r="O26" i="1"/>
  <c r="N26" i="1"/>
  <c r="G26" i="1"/>
  <c r="Z25" i="1"/>
  <c r="S25" i="1"/>
  <c r="R25" i="1"/>
  <c r="Q25" i="1"/>
  <c r="P25" i="1"/>
  <c r="O25" i="1"/>
  <c r="N25" i="1"/>
  <c r="G25" i="1"/>
  <c r="S24" i="1"/>
  <c r="O24" i="1"/>
  <c r="N24" i="1"/>
  <c r="S23" i="1"/>
  <c r="G23" i="1"/>
  <c r="F23" i="1"/>
  <c r="E23" i="1"/>
  <c r="D23" i="1"/>
  <c r="S22" i="1"/>
  <c r="S21" i="1"/>
  <c r="Z20" i="1"/>
  <c r="Y20" i="1"/>
  <c r="X20" i="1"/>
  <c r="W20" i="1"/>
  <c r="V20" i="1"/>
  <c r="S20" i="1"/>
  <c r="O20" i="1"/>
  <c r="L20" i="1"/>
  <c r="K20" i="1"/>
  <c r="G20" i="1"/>
  <c r="F20" i="1"/>
  <c r="E20" i="1"/>
  <c r="D20" i="1"/>
  <c r="C20" i="1"/>
  <c r="B20" i="1"/>
  <c r="S19" i="1"/>
  <c r="R19" i="1"/>
  <c r="P19" i="1"/>
  <c r="J19" i="1"/>
  <c r="G19" i="1"/>
  <c r="J18" i="1"/>
  <c r="G18" i="1"/>
  <c r="E18" i="1"/>
  <c r="J17" i="1"/>
  <c r="G17" i="1"/>
  <c r="J16" i="1"/>
  <c r="G16" i="1"/>
  <c r="T15" i="1"/>
  <c r="N15" i="1"/>
  <c r="J15" i="1"/>
  <c r="G15" i="1"/>
  <c r="S14" i="1"/>
  <c r="R14" i="1"/>
  <c r="Q14" i="1"/>
  <c r="P14" i="1"/>
  <c r="O14" i="1"/>
  <c r="N14" i="1"/>
  <c r="J14" i="1"/>
  <c r="G14" i="1"/>
  <c r="S13" i="1"/>
  <c r="R13" i="1"/>
  <c r="Q13" i="1"/>
  <c r="P13" i="1"/>
  <c r="O13" i="1"/>
  <c r="N13" i="1"/>
  <c r="J13" i="1"/>
  <c r="G13" i="1"/>
  <c r="E13" i="1"/>
  <c r="S12" i="1"/>
  <c r="Q12" i="1"/>
  <c r="O12" i="1"/>
  <c r="N12" i="1"/>
  <c r="J12" i="1"/>
  <c r="G12" i="1"/>
  <c r="S11" i="1"/>
  <c r="O11" i="1"/>
  <c r="J11" i="1"/>
  <c r="G11" i="1"/>
  <c r="E11" i="1"/>
  <c r="S10" i="1"/>
  <c r="R10" i="1"/>
  <c r="Q10" i="1"/>
  <c r="O10" i="1"/>
  <c r="J10" i="1"/>
  <c r="G10" i="1"/>
  <c r="E10" i="1"/>
  <c r="S9" i="1"/>
  <c r="R9" i="1"/>
  <c r="Q9" i="1"/>
  <c r="P9" i="1"/>
  <c r="O9" i="1"/>
  <c r="N9" i="1"/>
  <c r="J9" i="1"/>
  <c r="G9" i="1"/>
  <c r="E9" i="1"/>
  <c r="S8" i="1"/>
  <c r="Q8" i="1"/>
  <c r="O8" i="1"/>
  <c r="N8" i="1"/>
  <c r="J8" i="1"/>
  <c r="G8" i="1"/>
  <c r="E8" i="1"/>
  <c r="S7" i="1"/>
  <c r="O7" i="1"/>
  <c r="J7" i="1"/>
  <c r="G7" i="1"/>
  <c r="S6" i="1"/>
  <c r="R6" i="1"/>
  <c r="P6" i="1"/>
  <c r="J6" i="1"/>
  <c r="G6" i="1"/>
  <c r="E6" i="1"/>
  <c r="X5" i="1"/>
  <c r="G5" i="1"/>
  <c r="F5" i="1"/>
  <c r="E5" i="1"/>
  <c r="D5" i="1"/>
  <c r="C5" i="1"/>
  <c r="B5" i="1"/>
  <c r="H35" i="6"/>
  <c r="N26" i="6"/>
  <c r="K26" i="6"/>
  <c r="I26" i="6"/>
  <c r="M25" i="6"/>
  <c r="L25" i="6"/>
  <c r="K25" i="6"/>
  <c r="J25" i="6"/>
  <c r="I25" i="6"/>
  <c r="L24" i="6"/>
  <c r="J24" i="6"/>
  <c r="M23" i="6"/>
  <c r="L23" i="6"/>
  <c r="K23" i="6"/>
  <c r="J23" i="6"/>
  <c r="L22" i="6"/>
  <c r="K22" i="6"/>
  <c r="J22" i="6"/>
  <c r="I22" i="6"/>
  <c r="E22" i="6"/>
  <c r="D22" i="6"/>
  <c r="C22" i="6"/>
  <c r="L21" i="6"/>
  <c r="M20" i="6"/>
  <c r="L20" i="6"/>
  <c r="J20" i="6"/>
  <c r="E19" i="6"/>
  <c r="E18" i="6"/>
  <c r="E17" i="6"/>
  <c r="D17" i="6"/>
  <c r="E16" i="6"/>
  <c r="I15" i="6"/>
  <c r="I13" i="6"/>
  <c r="I12" i="6"/>
  <c r="E11" i="6"/>
  <c r="D11" i="6"/>
  <c r="C11" i="6"/>
  <c r="I10" i="6"/>
  <c r="E10" i="6"/>
  <c r="D10" i="6"/>
  <c r="C10" i="6"/>
  <c r="I9" i="6"/>
  <c r="E9" i="6"/>
  <c r="C9" i="6"/>
  <c r="I8" i="6"/>
  <c r="E8" i="6"/>
  <c r="D8" i="6"/>
  <c r="I7" i="6"/>
  <c r="E7" i="6"/>
  <c r="D7" i="6"/>
  <c r="C7" i="6"/>
  <c r="I6" i="6"/>
  <c r="D152" i="30"/>
  <c r="D32" i="30"/>
  <c r="D33" i="30"/>
  <c r="D5" i="30"/>
</calcChain>
</file>

<file path=xl/sharedStrings.xml><?xml version="1.0" encoding="utf-8"?>
<sst xmlns="http://schemas.openxmlformats.org/spreadsheetml/2006/main" count="2031" uniqueCount="433">
  <si>
    <t>สรุปผลการดำเนินงานที่สำคัญในปีที่ผ่านมาจนถึงปัจจุบัน ( ณ วันที่ 30  มิถุนายน 2555)</t>
  </si>
  <si>
    <t>1. จำนวนนักศึกษาปีการศึกษา 2551 แยกตามระดับและประเภทของนักศึกษา</t>
  </si>
  <si>
    <t>บัณฑิตศึกษา</t>
  </si>
  <si>
    <t>ระดับ</t>
  </si>
  <si>
    <t>ภาคปกติ</t>
  </si>
  <si>
    <t>ภาคพิเศษ</t>
  </si>
  <si>
    <t>รวม</t>
  </si>
  <si>
    <t>อนุปริญญา</t>
  </si>
  <si>
    <t>-</t>
  </si>
  <si>
    <t>บริหารการศึกษา</t>
  </si>
  <si>
    <t>ปริญญาตรี</t>
  </si>
  <si>
    <t>ยุทธศาสตร์ฯ</t>
  </si>
  <si>
    <t>ป.วิชาชีพครู</t>
  </si>
  <si>
    <t>หลักสูตร</t>
  </si>
  <si>
    <t>ปริญญาโท</t>
  </si>
  <si>
    <t>เทคโนฯการศึกษา</t>
  </si>
  <si>
    <t>ปริญญาเอก</t>
  </si>
  <si>
    <t>วิทยาศาสตร์</t>
  </si>
  <si>
    <t>รัฐประศาสนศาสตร์</t>
  </si>
  <si>
    <t>2. จำนวนนักศึกษาที่สำเร็จการศึกษา ปีงบประมาณ พ.ศ.2551 (รอบ 8 เดือน)</t>
  </si>
  <si>
    <t>ภาวะผู้นำฯ</t>
  </si>
  <si>
    <t>รวมทั้งสิ้น</t>
  </si>
  <si>
    <t>ประเภท</t>
  </si>
  <si>
    <t>อนุ</t>
  </si>
  <si>
    <t>ป.ตรี</t>
  </si>
  <si>
    <t>ป.โท</t>
  </si>
  <si>
    <t>การศึกษา</t>
  </si>
  <si>
    <t>ศิลปศาสตร์</t>
  </si>
  <si>
    <t>การจัดการ</t>
  </si>
  <si>
    <t>จำนวนนักศึกษาภาคปกติ ประจำปีการศึกษา  2557  จำแนกตามปีที่เข้าศึกษา</t>
  </si>
  <si>
    <t>สรุปจำนวนนักศึกษาคงอยู่ ประจำปีการศึกษา 2557</t>
  </si>
  <si>
    <t>โปรแกรมวิชา</t>
  </si>
  <si>
    <t>ปีการศึกษา</t>
  </si>
  <si>
    <t>2557</t>
  </si>
  <si>
    <t>2556</t>
  </si>
  <si>
    <t>2555</t>
  </si>
  <si>
    <t>2554</t>
  </si>
  <si>
    <t>2553</t>
  </si>
  <si>
    <t>คณะ</t>
  </si>
  <si>
    <t>ระดับการศึกษา</t>
  </si>
  <si>
    <t>คณะครุศาสตร์</t>
  </si>
  <si>
    <t>ป.ตรี 2 ปี</t>
  </si>
  <si>
    <t>ป.ตรี 4 ปี</t>
  </si>
  <si>
    <t>ป.ตรี 5 ปี</t>
  </si>
  <si>
    <t>ป.เอก</t>
  </si>
  <si>
    <t xml:space="preserve">การศึกษาปฐมวัย </t>
  </si>
  <si>
    <t>ครุศาสตร์</t>
  </si>
  <si>
    <t>พลศึกษาและวิทยาศาสตร์การกีฬา</t>
  </si>
  <si>
    <t>มนุษยศาสตร์และสังคมศษาสตร์</t>
  </si>
  <si>
    <t>ภาษาไทย</t>
  </si>
  <si>
    <t>วิทยาการจัดการ</t>
  </si>
  <si>
    <t xml:space="preserve">ภาษาอังกฤษ </t>
  </si>
  <si>
    <t>สังคมศึกษา</t>
  </si>
  <si>
    <t>วิทยาศาสตร์และเทคโนโลยี</t>
  </si>
  <si>
    <t>คณิตศาสตร์</t>
  </si>
  <si>
    <t>เทคโนโลยีการเกษตร</t>
  </si>
  <si>
    <t>การศึกษาพิเศษ / การศึกษาพิเศษและภาษาอังกฤษ</t>
  </si>
  <si>
    <t>เทคโนโลยีอุตสาหกรรม</t>
  </si>
  <si>
    <t>นวัตกรรมและคอมพิวเตอร์ศึกษา</t>
  </si>
  <si>
    <t>เกษตรศาสตร์</t>
  </si>
  <si>
    <t>เคมี</t>
  </si>
  <si>
    <t>สรุปจำนวนนักศึกษาเข้าใหม่ ประจำปีการศึกษา 2557</t>
  </si>
  <si>
    <t>ฟิสิกส์</t>
  </si>
  <si>
    <t>อุตสาหกรรมศิลป์และเทคโนโลยี</t>
  </si>
  <si>
    <t>คหกรรมศาสตร์</t>
  </si>
  <si>
    <t>การบริหารการศึกษา</t>
  </si>
  <si>
    <t>ภาวะผู้นำทางการบริหารการศึกษา</t>
  </si>
  <si>
    <t>การบริหารการศึกษาและภาวะผู้นำ</t>
  </si>
  <si>
    <t>วิจัยหลักสูตรและการสอน</t>
  </si>
  <si>
    <t>การบริหารและพัฒนาการศึกษา</t>
  </si>
  <si>
    <t>คณะวิทยาศาสตร์และเทคโนโลยี</t>
  </si>
  <si>
    <t xml:space="preserve">วิทยาการคอมพิวเตอร์ </t>
  </si>
  <si>
    <t>เทคโนโลยีสารสนเทศ</t>
  </si>
  <si>
    <t>คณิตศาสตร์ประยุกต์</t>
  </si>
  <si>
    <t>ถูกต้อง 18/7/57</t>
  </si>
  <si>
    <t>ชีววิทยาประยุกต์</t>
  </si>
  <si>
    <t>ชีววิทยา</t>
  </si>
  <si>
    <t>สาธารณสุขชุมชน</t>
  </si>
  <si>
    <t xml:space="preserve">สาธารณสุขศาสตร์ </t>
  </si>
  <si>
    <t xml:space="preserve">วิทยาศาสตร์สิ่งแวดล้อม </t>
  </si>
  <si>
    <t>วิทยาศาสตร์ศึกษา</t>
  </si>
  <si>
    <t xml:space="preserve">เดิมไม่มี </t>
  </si>
  <si>
    <t>วิทยาการสารสนเทศและเทคโนโลยี</t>
  </si>
  <si>
    <t xml:space="preserve">คณะเทคโนโลยีอุตสาหกรรม </t>
  </si>
  <si>
    <t>เทคโนโลยีอุตสาหกรรม (แขนงวิชาอิเล็กทรอนิกส์)</t>
  </si>
  <si>
    <t>เทคโนโลยีอุตสาหกรรม (แขนงวิชาเทคโนฯสถาปัตยกรรม)</t>
  </si>
  <si>
    <t>หลักสูตร ทล.บ. เริ่มเปิดในปีการศึกษา 2555</t>
  </si>
  <si>
    <t>เทคโนโลยีอุตสาหกรรม (แขนงเทคโนฯโยธา)</t>
  </si>
  <si>
    <t>เทคโนโลยีอุตสาหกรรม (แขนงวิชาเทคโนฯอุตสาหการ)</t>
  </si>
  <si>
    <t>เทคโนโลยีอุตสาหกรรม (แขนงวิชาเทคโนฯการจัดการอุตสาหกรรม)</t>
  </si>
  <si>
    <t>เทคโนโลยีอุตสาหกรรม (แขนงเทคโนฯการจัดการสิ่งแวดล้อมและผังเมือง)</t>
  </si>
  <si>
    <t>เทคโนโลยีอุตสาหกรรม (แขนงวิชาเทคโนฯเครื่องกล)</t>
  </si>
  <si>
    <t>ไฟฟ้าและอิเล็กทรอนิกส์ (แขนงวิชาไฟฟ้า)</t>
  </si>
  <si>
    <t>ไฟฟ้าและอิเล็กทรอนิกส์ (แขนงวิชาอิเล็กททรอนิกส์)</t>
  </si>
  <si>
    <t>เทคโนโลยีอุตสาหกรรม (แขนงวิชาเทคโนฯการผลิต)</t>
  </si>
  <si>
    <t>เทคโนโลยีอุตสาหกรรม (แขนงเทคโนฯไฟฟ้า)</t>
  </si>
  <si>
    <t>วท.บ. 4 ปี / ทล.บ. 4 ปี</t>
  </si>
  <si>
    <t>เทคโนโลยีอุตสาหกรรม (แขนงวิชาอิเล็กทรอนิกส์ )</t>
  </si>
  <si>
    <t>เทคโนโลยีอุตสาหกรรม (การจัดการอุตสาหกรรม)</t>
  </si>
  <si>
    <t>การบริหารงานก่อสร้าง</t>
  </si>
  <si>
    <t>เทคโนฯไฟฟ้าและอิเล็กทรอนิกส์ (แขนงวิชาอิเล็กททรอนิกส์)</t>
  </si>
  <si>
    <t>เทคโนฯไฟฟ้าและอิเล็กทรอนิกส์ (แขนงวิชาไฟฟ้า)</t>
  </si>
  <si>
    <t>เทคโนโลยีอุตสาหกรรม (แขนงวิชาโยธา)</t>
  </si>
  <si>
    <t>เทคโนโลยีอุตสาหกรรม (แขนงวิชาเทคโนฯไฟฟ้า)</t>
  </si>
  <si>
    <t>เทคโนโลยีอุตสาหกรรม (แขนงวิชาเทคโนโลยีการผลิต)</t>
  </si>
  <si>
    <t xml:space="preserve">เทคโนโลยีอุตสาหกรรม (แขนงอุตสาหการ) </t>
  </si>
  <si>
    <t>วท.บ. 2 ปีหลัง/ทล.บ. 2 ปีหลัง</t>
  </si>
  <si>
    <t>การจัดการอาชีวอุตสาหกรรม (ศศ.ม.)</t>
  </si>
  <si>
    <t>คณะเทคโนโลยีการเกษตร</t>
  </si>
  <si>
    <t>เทคโนโลยีการเกษตร (แขนงวิชาการผลิตพืช)</t>
  </si>
  <si>
    <t>เทคโนโลยีการเกษตร (แขนงวิชาการผลิตสัตว์)</t>
  </si>
  <si>
    <t>เทคโนโลยีการเกษตร (แขนงวิชาการประมง)</t>
  </si>
  <si>
    <t>เทคโนโลยีการเกษตร (แขนงวิชาวิทยาศาสตร์สุขภาพสัตว์)</t>
  </si>
  <si>
    <t>เทคโนโลยีการเกษตร (แขนงวิชาเกษตรศาสตร์เชิงบูรณาการ)</t>
  </si>
  <si>
    <t>การเพาะเลี้ยงสัตว์น้ำ</t>
  </si>
  <si>
    <t>แขนงวิชาการผลิตพืช</t>
  </si>
  <si>
    <t>แขนงวิชาการประมง</t>
  </si>
  <si>
    <t>แขนงวิชาการผลิตสัตว์</t>
  </si>
  <si>
    <t>แขนงวิชาธุรกิจการเกษตร</t>
  </si>
  <si>
    <t>วิทยาศาสตร์และเทคโนโลยีการอาหาร</t>
  </si>
  <si>
    <t>เทคนิคการสัตวแพทย์</t>
  </si>
  <si>
    <t>การจัดการอุตสาหกรรมการเกษตร (การจัดการอุตสาหกรรมอาหาร)</t>
  </si>
  <si>
    <t>พืชศาสตร์</t>
  </si>
  <si>
    <t>สัตวบาล (อ.วท.)</t>
  </si>
  <si>
    <t>การจัดการอุตสาหกรรมการเกษตร (การจัดการธุรกิจเกษตร)</t>
  </si>
  <si>
    <t>คณะมนุษยศาสตร์และสังคมศาสตร์</t>
  </si>
  <si>
    <t>อุตสาหกรรมการท่องเที่ยว</t>
  </si>
  <si>
    <t>ภาษาอังกฤษ</t>
  </si>
  <si>
    <t xml:space="preserve">การท่องเที่ยว </t>
  </si>
  <si>
    <t>ภาษาไทยเพื่อการสื่อสาร</t>
  </si>
  <si>
    <t>ภาษาอังกฤษธุรกิจ</t>
  </si>
  <si>
    <t>การพัฒนาชุมชน</t>
  </si>
  <si>
    <t>ศิลปกรรม (ศป.บ.)</t>
  </si>
  <si>
    <t>สารสนเทศศาสตร์</t>
  </si>
  <si>
    <t>ดนตรี/เทคโนโลยีดนตรี</t>
  </si>
  <si>
    <t>ดนตรี วุฒิ ศป.บ.</t>
  </si>
  <si>
    <t>การเมืองการปกครอง</t>
  </si>
  <si>
    <t>วัฒนธรรมศึกษาเพื่อการพัฒนา</t>
  </si>
  <si>
    <t>นิติศาสตร์</t>
  </si>
  <si>
    <t>คณะวิทยาการจัดการ</t>
  </si>
  <si>
    <t>นิเทศศาสตร์ (นศ.บ.4 ปี)</t>
  </si>
  <si>
    <t>เศรษฐศาสตร์ธุรกิจ (ศ.บ.4 ปี)</t>
  </si>
  <si>
    <t>รัฐประศาสนศาสตร์ (รป.บ.)</t>
  </si>
  <si>
    <t xml:space="preserve">การบริหารธุรกิจ (แขนงวิชาการตลาด 1) </t>
  </si>
  <si>
    <t>การบริหารธุรกิจ (แขนงวิชาการเงินการธนาคาร)</t>
  </si>
  <si>
    <t>การบริหารธุรกิจ (แขนงวิชาการบริหารทรัพยากรมนุษย์)</t>
  </si>
  <si>
    <t>การบริหารธุรกิจ (แขนงการบัญชี)</t>
  </si>
  <si>
    <t>การบริหารธุรกิจ (แขนงคอมพิวเตอร์ธุรกิจ)</t>
  </si>
  <si>
    <t>การบริหารธุรกิจ (แขนงการจัดการโลจิสติกส์)</t>
  </si>
  <si>
    <t>บริหารธุรกิจ (แขนงการจัดการทั่วไป)</t>
  </si>
  <si>
    <t>การบัญชี 4 ปี</t>
  </si>
  <si>
    <t>รวม 4 ปี</t>
  </si>
  <si>
    <t>การบริหารธุรกิจ(แขนงวิชาการบริหารทรัพยากรมนุษย์ 1)</t>
  </si>
  <si>
    <t>การจัดการ 2 ปี</t>
  </si>
  <si>
    <t>การบริหารธุรกิจ (แขนงคอมพิวเตอร์ธุรกิจ 1)</t>
  </si>
  <si>
    <t>การบริหารธุรกิจ (การเลขานุการ)</t>
  </si>
  <si>
    <t>การบัญชี 2 ปี</t>
  </si>
  <si>
    <t>รวม 2 ปี</t>
  </si>
  <si>
    <t>รัฐประศาสนศาสตร์ (รป.ม.)</t>
  </si>
  <si>
    <t>รวมทั้งมหาวิทยาลัย</t>
  </si>
  <si>
    <t>2552</t>
  </si>
  <si>
    <t xml:space="preserve">ข้อมูล ณ  วันที่ 24  เมษายน 2558  </t>
  </si>
  <si>
    <t>ถูกต้อง</t>
  </si>
  <si>
    <t>สังคม</t>
  </si>
  <si>
    <t>วิทย์</t>
  </si>
  <si>
    <t>5 ปี</t>
  </si>
  <si>
    <t>4 ปี</t>
  </si>
  <si>
    <t>2 ปี</t>
  </si>
  <si>
    <t>โท</t>
  </si>
  <si>
    <t>เอก</t>
  </si>
  <si>
    <t>เทคโนโลยีดนตรี</t>
  </si>
  <si>
    <t>ข้อมูล ณ  วันที่ 18  ก.ค.  2557</t>
  </si>
  <si>
    <t>แถบสี นักศึกษาระดับบัณฑิตดูจากเวปบัณฑิต</t>
  </si>
  <si>
    <t>จำนวนนักศึกษาภาคพิเศษ ปีการศึกษา 2557</t>
  </si>
  <si>
    <t>2551</t>
  </si>
  <si>
    <t>2550</t>
  </si>
  <si>
    <t>2549</t>
  </si>
  <si>
    <t>2548</t>
  </si>
  <si>
    <t>ชาย</t>
  </si>
  <si>
    <t>หญิง</t>
  </si>
  <si>
    <t>การศึกษาปฐมวัย ( 5 ปี )</t>
  </si>
  <si>
    <t>ภาษาอังกฤษ (5 ปี)</t>
  </si>
  <si>
    <t>ภาษาไทย (5 ปี)</t>
  </si>
  <si>
    <t>สังคมศึกษา (5 ปี)</t>
  </si>
  <si>
    <t>พลศึกษาและวิทยาศาสตร์การกีฬา (5 ปี)</t>
  </si>
  <si>
    <t>คณิตศาสตร์( 5 ปี)</t>
  </si>
  <si>
    <t>วิทยาศาสตร์( 5 ปี)</t>
  </si>
  <si>
    <t>การศึกษาพิเศษ</t>
  </si>
  <si>
    <t>คณะเทคโนโลยีอุตสาหกรรม</t>
  </si>
  <si>
    <t>เทคโนโลยีอุตสาหกรรม (แขนงเทคโนฯโยธา 4 ปี)</t>
  </si>
  <si>
    <t>เทคโนโลยีอุตสาหกรรม (เทคโนโลยีไฟฟ้า วท.บ. 4 ปี)</t>
  </si>
  <si>
    <t>เทคโนโลยีอุตสาหกรรม (แขนงเทคโนฯอิเล็กทรอนิกส์ วท.บ. 4 ปี)</t>
  </si>
  <si>
    <t>คณะครุศาสตร์ ป.ตรี 2 ปี ได้แก่ ป.วิชาชีพครู  ยกมาจากบัณฑิตวิทยาลัย</t>
  </si>
  <si>
    <t>เทคโนโลยีอุตสาหกรรม (แขนงเทคโนฯการผลิต วท.บ.4  ปี)</t>
  </si>
  <si>
    <t>ณ 24/04/58</t>
  </si>
  <si>
    <t>เทคโนโลยีอุตสาหกรรม (แขนงเทคโนฯโยธา 4 ปีเทียบโอน)</t>
  </si>
  <si>
    <t>เทคโนโลยีอุตสาหกรรม (เทคโนโลยีไฟฟ้า 4 ปีเทียบโอน)</t>
  </si>
  <si>
    <t>เทคโนโลยีอุตสาหกรรม (แขนงเทคโนฯอิเล็กทรอนิกส์ 2 ปี)</t>
  </si>
  <si>
    <t>เทคโนโลยีอุตสาหกรรม (แขนงเทคโนฯ ก่อสร้าง 2 ปี)</t>
  </si>
  <si>
    <t>เทคโนโลยีอุตสาหกรรม (แขนงเทคโนฯ การจัดการอุตสาหกรรม 2 ปี)</t>
  </si>
  <si>
    <t>เทคโนโลยีอุตสาหกรรม (เทคโนโลยีเครื่องกล ทล.บ 2 ปี)</t>
  </si>
  <si>
    <t>ถูกต้อง ณ 18/7/57</t>
  </si>
  <si>
    <t>เทคโนโลยีไฟฟ้าและอิเล็กทรอนิกส์ (เทคโนโลยีไฟฟ้า ทล.บ.2 ปี)</t>
  </si>
  <si>
    <t>เทคโนโลยีไฟฟ้าและอิเล็กทรอนิกส์ (เทคโนโลยีอิเล็กทรอนิกส์ ทล.บ.2 ปี)</t>
  </si>
  <si>
    <t>การบริหารงานก่อสร้าง (ทล.บ. 2 ปี)</t>
  </si>
  <si>
    <t>เทคโนโลยีอุตสาหกรรม (แขนงเทคโนฯ การผลิต ทล.บ.2 ปี)</t>
  </si>
  <si>
    <t>ไม่รวมอนุ 5 คน (ก่อสร้าง 3 อิเล็ก 2 คน) และ ว่าง 11 คน</t>
  </si>
  <si>
    <t>วิทยาการคอมพิวเตอร์</t>
  </si>
  <si>
    <t>อุตสาหกรรมการท่องเที่ยว หมู่ 1</t>
  </si>
  <si>
    <t>ศศ.บ.</t>
  </si>
  <si>
    <t>การพัฒนาชุมชน ( 4 ปี)</t>
  </si>
  <si>
    <t>ศิลปกรรม (ออกแบบนิเทศศิลป์)</t>
  </si>
  <si>
    <t>รปศ.(การปกครองส่วนท้องถิ่น)</t>
  </si>
  <si>
    <t>รัฐประศาสนศาสตร์ หมู่ 1 (รป.บ. การปกครองส่วนท้องถิ่น)</t>
  </si>
  <si>
    <t>รัฐประศาสนศาสตร์ หมู่ 1 (รป.บ.)</t>
  </si>
  <si>
    <t>4 ปีเทียบโอน</t>
  </si>
  <si>
    <t>รัฐประศาสนศาสตร์ (ศศ.บ.)</t>
  </si>
  <si>
    <t>รัฐประศาสนศาสตร์ หมู่ 3</t>
  </si>
  <si>
    <t>กศ.ปท.</t>
  </si>
  <si>
    <t>รัฐประศาสนศาสตร์ หมู่ 1 (ศศ.บ.)</t>
  </si>
  <si>
    <t>การบริหารธุรกิจ(แขนงวิชาการบริหารทรัพยากรมนุษย์ 2 ปี)</t>
  </si>
  <si>
    <t>การบริหารธุรกิจ(แขนงวิชาการบัญชี 2 ปี)</t>
  </si>
  <si>
    <t>การบริหารธุรกิจ(แขนงวิชาการบัญชี 4)</t>
  </si>
  <si>
    <t>การบริหารธุรกิจ(แขนงวิชาการบัญชี 3)</t>
  </si>
  <si>
    <t>การบริหารธุรกิจ(แขนงวิชาการบัญชี 2)</t>
  </si>
  <si>
    <t>การบริหารธุรกิจ (แขนงคอมพิวเตอร์ธุรกิจ 2 ปี)</t>
  </si>
  <si>
    <t>การบริหารธุรกิจ (แขนงคอมพิวเตอร์ธุรกิจ 2)</t>
  </si>
  <si>
    <t>การบริหารธุรกิจ (แขนงคอมพิวเตอร์ธุรกิจ 3)</t>
  </si>
  <si>
    <t>การจัดการทั่วไป (บธ.บ. 4 ปี)</t>
  </si>
  <si>
    <t>การจัดการทั่วไป (บธ.บ. 2 ปี)</t>
  </si>
  <si>
    <t>การบัญชี 4 ปีเทียบโอน</t>
  </si>
  <si>
    <t>ป.</t>
  </si>
  <si>
    <t>นักศึกษาเข้าใหม่</t>
  </si>
  <si>
    <t>แ.ตรี</t>
  </si>
  <si>
    <t>แ.โท</t>
  </si>
  <si>
    <t>เทคโนโลยีอุตสาหกรรม (แขนงเทคโนฯ การผลิต 2 ปี)</t>
  </si>
  <si>
    <t>การบริหารธุรกิจ(แขนงวิชาการบริหารทรัพยากรมนุษย์ 4 ปี)</t>
  </si>
  <si>
    <t>การบริหารธุรกิจ (แขนงคอมพิวเตอร์ธุรกิจ 4 ปี)</t>
  </si>
  <si>
    <t>จำนวนนักศึกษาภาคปกติ ประจำปีการศึกษา  2559  จำแนกตามปีที่เข้าศึกษา</t>
  </si>
  <si>
    <t>สรุปจำนวนนักศึกษาคงอยู่ ประจำปีการศึกษา 2558</t>
  </si>
  <si>
    <t>2559</t>
  </si>
  <si>
    <t>2558</t>
  </si>
  <si>
    <t>ประจำเดือนสิงหาคม 2559</t>
  </si>
  <si>
    <t>สรุปจำนวนนักศึกษาเข้าใหม่ ประจำปีการศึกษา 2559</t>
  </si>
  <si>
    <t>รวมนักศึกษาที่ย้ายมาจากปีที่ 2 แล้ว</t>
  </si>
  <si>
    <t>เทคโนโลยีก่อสร้างและสถาปัตยกรรม(แขนงสถาปัตยกรรม)</t>
  </si>
  <si>
    <t>เทคโนโลยีก่อสร้างและสถาปัตยกรรม(แขนงเทคโนฯก่อสร้าง)</t>
  </si>
  <si>
    <t>เทคโนโลยีเครื่องกลและการผลิต (แขนงเทคโนฯการผลิต)</t>
  </si>
  <si>
    <t>เทคโนโลยีเครื่องกลและการผลิต (แขนงเทคโนฯเครื่องกล)</t>
  </si>
  <si>
    <t>เทคโนโลยีการเกษตร สัตวศาสตร์</t>
  </si>
  <si>
    <t>เทคโนโลยีการเกษตร ประมง</t>
  </si>
  <si>
    <t>เทคโนโลยีการเกษตร ธุรกิจการเกษตร</t>
  </si>
  <si>
    <t xml:space="preserve">การบริหารธุรกิจ (แขนงวิชาการตลาด ) </t>
  </si>
  <si>
    <t xml:space="preserve">การบริหารธุรกิจ (แขนงวิชาการจัดการธุรกิจค้าปลีก) </t>
  </si>
  <si>
    <t>คอมพิวเตอร์ธุรกิจ</t>
  </si>
  <si>
    <t>ข้อมูล ณ  วันที่ 30 กันยายน 2559 จากเล่มเข้าสภามหาวิทยาลัยฯ</t>
  </si>
  <si>
    <t>นักศึกษาคงอยู่</t>
  </si>
  <si>
    <t>2567</t>
  </si>
  <si>
    <t>2568</t>
  </si>
  <si>
    <t>2569</t>
  </si>
  <si>
    <t>2570</t>
  </si>
  <si>
    <t>2571</t>
  </si>
  <si>
    <t>แก้ไขแล้ว 01/12/2565</t>
  </si>
  <si>
    <t>พลศึกษา</t>
  </si>
  <si>
    <t>การประถมศึกษา</t>
  </si>
  <si>
    <t>ดนตรีศึกษา</t>
  </si>
  <si>
    <t>ครุศาสตรวิศวกรรม (แขนงวิชาวิศวกรรมโยธา)</t>
  </si>
  <si>
    <t>ครุศาสตรวิศวกรรม (แขนงวิชาวิศวกรรมสถาปัตยกรรม)</t>
  </si>
  <si>
    <t>ครุศาสตรวิศวกรรม (แขนงวิชาวิศวกรรมอิเล็กทรอนิกส์)</t>
  </si>
  <si>
    <t>ปรับใหม่แล้ว</t>
  </si>
  <si>
    <t>เทคโนโลยีสารสนเทศ/เทคโนโลยีคอมพิวเตอร์และดิจิทัจ</t>
  </si>
  <si>
    <t>วิทยาการข้อมูล</t>
  </si>
  <si>
    <t>สาธารณสุขศาสตร์ (วท.บ.)</t>
  </si>
  <si>
    <t>สาธารณสุขศาสตร์ (ส.บ.)</t>
  </si>
  <si>
    <t>การจัดการสุขภาวะองค์ (วท.บ.)</t>
  </si>
  <si>
    <t>อาชีวอนามัย ความปลอดภัย และสิ่งแวดล้อม</t>
  </si>
  <si>
    <t>เทคโนโลยีและการจัดการสารสนเทศดิจิทัล</t>
  </si>
  <si>
    <t>สารธารณสุขศาสตร์มหาบัณฑิต (ส.ม.)</t>
  </si>
  <si>
    <t>แก้ไขแล้ว 21/11/2565</t>
  </si>
  <si>
    <t>เทคโนโลยีโยธาและสถาปัตยกรรม(แขนงเทคโนโลยีสถาปัตยกรรม)</t>
  </si>
  <si>
    <t>ปรับแล้ว</t>
  </si>
  <si>
    <t>เทคโนโลยีก่อสร้างและสถาปัตยกรรม(แขนงเทคโนฯโยธา)</t>
  </si>
  <si>
    <t>เทคโนโลยีไฟฟ้าและอิเล็กทรอนิกส์ (แขนงวิชาไฟฟ้า)</t>
  </si>
  <si>
    <t>เทคโนโลยีไฟฟ้าและอิเล็กทรอนิกส์ (แขนงวิชาอิเล็กทรอนิกส์)</t>
  </si>
  <si>
    <t>เทคโนโลยีก่อสร้าง</t>
  </si>
  <si>
    <t>เทคโนโลยีสถาปัตยกรรม</t>
  </si>
  <si>
    <t>วิศวกรรมโยธา</t>
  </si>
  <si>
    <t>วิศวกรรมอิเล็กทรอนิกส์</t>
  </si>
  <si>
    <t>เทคโนโลยีเครื่องกลและการผลิต (แขนงเทคโนฯการผลิต)เทียบโอน</t>
  </si>
  <si>
    <t>เทคโนโลยีเครื่องกลและการผลิต (แขนงเทคโนฯเครื่องกล)เทียบโอน</t>
  </si>
  <si>
    <t>เทคโนฯไฟฟ้าและอิเล็กทรอนิกส์ (แขนงวิชาอิเล็กททรอนิกส์)เทียบโอน</t>
  </si>
  <si>
    <t>เทคโนฯไฟฟ้าและอิเล็กทรอนิกส์ (แขนงวิชาไฟฟ้า)เทียบโอน</t>
  </si>
  <si>
    <t>เทคโนโลยีโยธาและสถาปัตยกรรม(แขนงเทคโนฯโยธา)เทียบโอน</t>
  </si>
  <si>
    <t>เทคโนโลยีโยธาและสถาปัตยกรรม(แขนงสถาปัตยกรรม)เทียบโอน</t>
  </si>
  <si>
    <t>วิศวกรรมโยธา เทียบโอน</t>
  </si>
  <si>
    <t>วิศวกรรมศาสตรมหาบัณฑิต</t>
  </si>
  <si>
    <t>วิศวกรรมศาสตร์ (วศ.ม.)</t>
  </si>
  <si>
    <t>ปรัชญาดุษฎีบัณฑิต</t>
  </si>
  <si>
    <t>วิศวกรรมศาสตร์ (ปร.ด.)</t>
  </si>
  <si>
    <t>สัตวศาสตร์</t>
  </si>
  <si>
    <t>การประมง/วิทยาศาสตร์การเพาะเลี้ยงสัตว์น้ำ</t>
  </si>
  <si>
    <t>บริหารธุรกิจการเกษตร</t>
  </si>
  <si>
    <t>ภาษาอังกฤษเพื่อการสื่อสารทางธุรกิจ</t>
  </si>
  <si>
    <t>ศิลปกรรม/ทัศนศิลป์ (ศป.บ.)</t>
  </si>
  <si>
    <t>สารสนเทศศึกษาและการจัดการสื่อดิจิทัล (ใหม่ 2566)</t>
  </si>
  <si>
    <t>ดนตรีศึกษา (ค.บ) ยกไปครุศาสตร์</t>
  </si>
  <si>
    <t>รัฐศาสตร์</t>
  </si>
  <si>
    <t>ภาษาจีน</t>
  </si>
  <si>
    <t>แก้ไขแล้ว 1/12/2565</t>
  </si>
  <si>
    <t>ปรับแก้ 16/1/67</t>
  </si>
  <si>
    <t>การจัดการธุรกิจค้าปลีก</t>
  </si>
  <si>
    <t>การบริหารธุรกิจ (แขนงวิชาการเงินการธนาคาร/บริหารการเงิน)</t>
  </si>
  <si>
    <t>บริหารธุรกิจ (แขนงการจัดการ)</t>
  </si>
  <si>
    <t>บริหารธุรกิจ (แขนงเกมอีสปอร์ต)</t>
  </si>
  <si>
    <t>จำนวนนักศึกษาภาคพิเศษ ปีการศึกษา 2559</t>
  </si>
  <si>
    <t>สรุปจำนวนนักศึกษาคงอยู่ ประจำปีการศึกษา 2559</t>
  </si>
  <si>
    <t>เทคโนโลยีไฟฟ้าและอิเล็กทรอนิกส์ (เทคโนโลยีไฟฟ้า ทล.บ.4 ปี)</t>
  </si>
  <si>
    <t>หมายเหตุ ปริญญาตรี 2 ปี คณะครุศาสตร์ คือ ประกาศนียบัตรวิชาชีพครู</t>
  </si>
  <si>
    <t>เทคโนโลยีก่อสร้างและเทคโนฯสถาปัตยกรรม (แขนงเทคโนฯก่อสร้าง ทล.บ. 4  ปี)</t>
  </si>
  <si>
    <t>เทคโนโลยีเครื่องกลและเทคโนฯการผลิต (แขนงเทคโนฯเครื่องกล ทล.บ. 4  ปี)</t>
  </si>
  <si>
    <t>ข้อมูล ณ วั้นที่ 31 สิงหาคม 2559</t>
  </si>
  <si>
    <t>เทคโนโลยีก่อสร้าง (เทคโนฯก่อสร้าง) (ทล.บ. 2 ปี)</t>
  </si>
  <si>
    <t>จาก ไฟล์โอดส่งเสริม</t>
  </si>
  <si>
    <t>ขาด</t>
  </si>
  <si>
    <t>เทคโนโลยีอุตสาหกรรม (แขนงเทคโนฯการผลิต ทล.บ.2  ปี)</t>
  </si>
  <si>
    <t>เทคโนโลยีอุตสาหกรรม (แขนงเทคโนฯเครื่องกล ทล.บ.2  ปี)</t>
  </si>
  <si>
    <t>เทคโนโลยีเครื่องกลและเทคโนฯการผลิต (แขนงเทคโนฯเครื่องกล ทล.บ. 4  ปีเทียบโอน)</t>
  </si>
  <si>
    <t>เทคโนโลยีเครื่องกลและเทคโนฯการผลิต (แขนงเทคโนฯการผลิต ทล.บ. 4  ปีเทียบโอน)</t>
  </si>
  <si>
    <t>เทคโนโลยีก่อสร้างและเทคโนฯสถาปัตยกรรม (แขนงเทคโนฯโยธา ทล.บ. 4  ปีเทียบโอน)</t>
  </si>
  <si>
    <t>วิศวกรรมโยธา (ทล.บ. 4 ปีเทียบโอน)</t>
  </si>
  <si>
    <t>ประมง</t>
  </si>
  <si>
    <t>ปรับใหม่แล้ว 01/12/2565</t>
  </si>
  <si>
    <t xml:space="preserve">การบัญชี </t>
  </si>
  <si>
    <t>บริหารธุรกิจ (การจัดการ) (บธ.บ. 2 ปี)</t>
  </si>
  <si>
    <t>จำนวนนักศึกษาระดับบัณฑิตศึกษา ประจำปีการศึกษา 2557</t>
  </si>
  <si>
    <t>ครุ</t>
  </si>
  <si>
    <t>สาขาวิชาการบริหารและพัฒนาการศึกษา หมู่ 1</t>
  </si>
  <si>
    <t>มนุษย์</t>
  </si>
  <si>
    <t>หลักสูตรและการสอน</t>
  </si>
  <si>
    <t>การวิจัยและพัฒนาการศึกษา</t>
  </si>
  <si>
    <t>นวัตกรรมการบริหารการศึกษา</t>
  </si>
  <si>
    <t>รวมด้านมนุษยศาสตร์</t>
  </si>
  <si>
    <t>การสอนวิทยาศาสตร์</t>
  </si>
  <si>
    <t>เกษตร</t>
  </si>
  <si>
    <t>อุตสาหกรรม</t>
  </si>
  <si>
    <t>รวมด้านวิทย์</t>
  </si>
  <si>
    <t>ฟิสิกส์ ป.โท</t>
  </si>
  <si>
    <t>ฟิสิกส์ ป.เอก</t>
  </si>
  <si>
    <t>ยุทธศาสตร์การพัฒนา</t>
  </si>
  <si>
    <t>การจัดการอาชีวอุตสาหกรรม</t>
  </si>
  <si>
    <t>ป.วิชาชีพ</t>
  </si>
  <si>
    <t>การบริหารการพัฒนา (ป.เอก)</t>
  </si>
  <si>
    <t>ประกาศนียบัตรสาขาวิชาชีพครู</t>
  </si>
  <si>
    <t>- ประเภทครูผู้สอน</t>
  </si>
  <si>
    <t>- ประเภทบุคคลทั่วไป</t>
  </si>
  <si>
    <t>ด้านสังคม</t>
  </si>
  <si>
    <t>ด้านวิทย์</t>
  </si>
  <si>
    <t>จำนวนนักศึกษาระดับบัณฑิตศึกษา ประจำปีการศึกษา 2556</t>
  </si>
  <si>
    <t>ปกติ</t>
  </si>
  <si>
    <t>เดิม 40</t>
  </si>
  <si>
    <t>เดิม 12</t>
  </si>
  <si>
    <t>เดิม 13</t>
  </si>
  <si>
    <t>รวมด้านวิทยาศซาสตร์</t>
  </si>
  <si>
    <t>ข้อมูล ณ  วันที่ 9  ก.ค.  2557</t>
  </si>
  <si>
    <t>จำนวนนักเรียนที่คงอยู่และคาดว่าจะเข้าเรียน</t>
  </si>
  <si>
    <t>ของโรงเรียนวิถีธรรมแห่งมหาวิทยาลัยราชภัฏสกลนคร</t>
  </si>
  <si>
    <t>จำนวนนักเรียน</t>
  </si>
  <si>
    <t>อนุบาล 1</t>
  </si>
  <si>
    <t>อนุบาล 2</t>
  </si>
  <si>
    <t>อนุบาล 3</t>
  </si>
  <si>
    <t>ประถมศึกษา 1</t>
  </si>
  <si>
    <t>ประถมศึกษา 2</t>
  </si>
  <si>
    <t>ประถมศึกษา 3</t>
  </si>
  <si>
    <t>ประถมศึกษา 4</t>
  </si>
  <si>
    <t>ประถมศึกษา 5</t>
  </si>
  <si>
    <t>ประถมศึกษา 6</t>
  </si>
  <si>
    <t>ระดับประถมศึกษา</t>
  </si>
  <si>
    <t>ระดับปฐมวัย</t>
  </si>
  <si>
    <t>ข้อมูล ณ วันที่ 30 มิถุนายน 2556</t>
  </si>
  <si>
    <t>จาก โรงเรียนวิถีธรรมฯ</t>
  </si>
  <si>
    <t>สรุปจำนวนนักศึกษาคงอยู่ ภาคปกติ ประจำปีงบประมาณ พ.ศ. 2556</t>
  </si>
  <si>
    <t>สรุปจำนวนนักศึกษาคงอยู่ ภาคพิเศษ ประจำปีงบประมาณ พ.ศ. 2556</t>
  </si>
  <si>
    <t>ประจำเดือน กันยายน 2556</t>
  </si>
  <si>
    <t>สรุปจำนวนนักศึกษาคงอยู่ภาคปกติ ประจำปีการศึกษา 2556</t>
  </si>
  <si>
    <t>รวมด้านสังคมศาสตร์</t>
  </si>
  <si>
    <t>รวมด้านวิทยาศาสตร์ฯ</t>
  </si>
  <si>
    <t>สรุปจำนวนนักศึกษาเข้าใหม่ภาคปกติ ประจำปีการศึกษา 2555</t>
  </si>
  <si>
    <t>สรุปจำนวนนักศึกษาเข้าใหม่ภาคปกติ ประจำปีการศึกษา 2556</t>
  </si>
  <si>
    <t>รวมด้านวิทยาศาสตร์</t>
  </si>
  <si>
    <t>สรุปจำนวนนักศึกษาเข้าใหม่ภาคปกติ ประจำปีการศึกษา 2554</t>
  </si>
  <si>
    <t>ข้อมูล ณ วันที่ 3  มิถุนายน  2556</t>
  </si>
  <si>
    <t>สรุปจำนวนนักศึกษาคงอยู่ภาคพิเศษ ประจำปีการศึกษา 2556</t>
  </si>
  <si>
    <r>
      <rPr>
        <b/>
        <sz val="16"/>
        <color rgb="FFFF0000"/>
        <rFont val="TH SarabunPSK"/>
        <charset val="134"/>
      </rPr>
      <t>หมายเหตุ :</t>
    </r>
    <r>
      <rPr>
        <sz val="16"/>
        <color rgb="FFFF0000"/>
        <rFont val="TH SarabunPSK"/>
        <charset val="134"/>
      </rPr>
      <t xml:space="preserve"> ป.ตรี 2 ปี คือ ประกาศนียบัตรวิชาชีพครู</t>
    </r>
  </si>
  <si>
    <t>สรุปจำนวนนักศึกษาเข้าใหม่ภาคพิเศษ ประจำปีการศึกษา 2556</t>
  </si>
  <si>
    <t>รวม 4 ปี วจ.</t>
  </si>
  <si>
    <t>รวม 2 ปี วจ.</t>
  </si>
  <si>
    <t>จำนวนนักศึกษาคงอยู่ 30 กันยายน 2557</t>
  </si>
  <si>
    <t>จำแนกตามการศึกษาและระดับการศึกษา</t>
  </si>
  <si>
    <t>ภาคการศึกษา</t>
  </si>
  <si>
    <t>ป.บัณฑิต(วิชาชีพครู)</t>
  </si>
  <si>
    <t>สาธารณสุขศาสตรมหาบัณพิต (ส.ม.)</t>
  </si>
  <si>
    <t>ปรับแก้แล้ว 01/12/2565</t>
  </si>
  <si>
    <t>การจัดการธุรกิจดิจิทัล (ป.โท)</t>
  </si>
  <si>
    <t>การจัดการภาครัฐและเอกชน (ป.โท)</t>
  </si>
  <si>
    <t>การจัดการภาครัฐและเอกชน (ป.เอก)</t>
  </si>
  <si>
    <t>ข้อมูล ณ วันที่ 28 มิถุนายน 2559</t>
  </si>
  <si>
    <t>จาก โรงเรียนวิถีธรรมแห่งมหาวิทยาลัยราชภัฏสกลนคร</t>
  </si>
  <si>
    <t>ข้อมูล ณ วันที่ 30 มิถุนายน 2557</t>
  </si>
  <si>
    <t>สรุปจำนวนนักเรียน นักศึกษา มหาวิทยาลัยราชภัฏสกลนคร</t>
  </si>
  <si>
    <t>ประจำปีการศึกษา 2558</t>
  </si>
  <si>
    <t>1) จำนวนนักเรียนก่อนระดับประถมศึกษา</t>
  </si>
  <si>
    <t>หน่วยงาน</t>
  </si>
  <si>
    <t>โรงเรียนวิถีธรรมแห่งมหาวิทยาลัยราชภัฏสกลนคร</t>
  </si>
  <si>
    <t>2) จำนวนนักเรียนระดับประถมศึกษา</t>
  </si>
  <si>
    <t>ประถมศึกษาที่ 1</t>
  </si>
  <si>
    <t>ประถมศึกษาที่ 2</t>
  </si>
  <si>
    <t>ประถมศึกษาที่ 3</t>
  </si>
  <si>
    <t>3) สรุปจำนวนนักศึกษาระดับปริญญาตรี จำแนกตามคณะและจำนวนชั้นปี</t>
  </si>
  <si>
    <t>ชั้นปี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</si>
  <si>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</si>
  <si>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</si>
  <si>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</si>
  <si>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</si>
  <si>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</si>
  <si>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</si>
  <si>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มนุษยศาสตร์และสังคมศาสตร์</t>
  </si>
  <si>
    <t>4) สรุปจำนวนนักศึกษาระดับสูงกว่าปริญญาตรี จำแนกตามคณะและจำนวนชั้นปี (ป.วิชาชีพครู - ป.โท - ป.เอก)</t>
  </si>
  <si>
    <t>ข้อมูล ณ 30 ก.พ. 59</t>
  </si>
  <si>
    <t>2572</t>
  </si>
  <si>
    <t>แผนการรับนักศึกษา ภาคปกติ ประจำปีการศึกษา  2568-2572</t>
  </si>
  <si>
    <t>นักศึกษาคงอยู่2567</t>
  </si>
  <si>
    <t>แผนการรับนักศึกษา ภาคพิเศษ ประจำปีการศึกษา 2568-2572</t>
  </si>
  <si>
    <t>แผนการรับนักศึกษา ระดับบัณฑิตศึกษา ประจำปีการศึกษา 2568-2572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</si>
</sst>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40">
    <font>
      <sz val="10"/>
      <name val="Arial"/>
      <charset val="222"/>
    </font>
    <font>
      <sz val="14"/>
      <name val="TH SarabunPSK"/>
      <charset val="134"/>
    </font>
    <font>
      <b/>
      <sz val="16"/>
      <name val="TH SarabunPSK"/>
      <charset val="134"/>
    </font>
    <font>
      <sz val="16"/>
      <name val="TH SarabunPSK"/>
      <charset val="134"/>
    </font>
    <font>
      <b/>
      <sz val="20"/>
      <name val="TH SarabunPSK"/>
      <charset val="134"/>
    </font>
    <font>
      <b/>
      <sz val="18"/>
      <name val="TH SarabunPSK"/>
      <charset val="134"/>
    </font>
    <font>
      <b/>
      <sz val="14"/>
      <name val="TH SarabunPSK"/>
      <charset val="134"/>
    </font>
    <font>
      <b/>
      <sz val="16"/>
      <color rgb="FFFF0000"/>
      <name val="TH SarabunPSK"/>
      <charset val="134"/>
    </font>
    <font>
      <sz val="16"/>
      <color rgb="FFFF0000"/>
      <name val="TH SarabunPSK"/>
      <charset val="134"/>
    </font>
    <font>
      <sz val="14"/>
      <color rgb="FFFF0000"/>
      <name val="TH SarabunPSK"/>
      <charset val="134"/>
    </font>
    <font>
      <sz val="10"/>
      <name val="Arial"/>
      <charset val="134"/>
    </font>
    <font>
      <sz val="12"/>
      <color rgb="FFFF0000"/>
      <name val="TH SarabunPSK"/>
      <charset val="134"/>
    </font>
    <font>
      <sz val="11"/>
      <name val="Arial"/>
      <charset val="134"/>
    </font>
    <font>
      <b/>
      <sz val="10"/>
      <name val="Microsoft Sans Serif"/>
      <charset val="134"/>
    </font>
    <font>
      <sz val="10"/>
      <name val="Microsoft Sans Serif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16"/>
      <color rgb="FFFF0000"/>
      <name val="TH SarabunPSK"/>
      <charset val="222"/>
    </font>
    <font>
      <sz val="16"/>
      <name val="TH SarabunPSK"/>
      <charset val="222"/>
    </font>
    <font>
      <b/>
      <sz val="16"/>
      <name val="TH SarabunPSK"/>
      <charset val="222"/>
    </font>
    <font>
      <b/>
      <sz val="16"/>
      <color rgb="FFFF0000"/>
      <name val="TH SarabunPSK"/>
      <charset val="222"/>
    </font>
    <font>
      <sz val="15"/>
      <name val="TH SarabunPSK"/>
      <charset val="222"/>
    </font>
    <font>
      <sz val="16"/>
      <name val="Arial"/>
      <charset val="134"/>
    </font>
    <font>
      <sz val="16"/>
      <color rgb="FFFF0000"/>
      <name val="Arial"/>
      <charset val="134"/>
    </font>
    <font>
      <sz val="14"/>
      <name val="TH SarabunPSK"/>
      <charset val="222"/>
    </font>
    <font>
      <sz val="16"/>
      <name val="Arial"/>
      <charset val="222"/>
    </font>
    <font>
      <sz val="15"/>
      <color rgb="FFFF0000"/>
      <name val="TH SarabunPSK"/>
      <charset val="134"/>
    </font>
    <font>
      <sz val="12"/>
      <name val="TH SarabunPSK"/>
      <charset val="134"/>
    </font>
    <font>
      <b/>
      <sz val="12"/>
      <name val="Arial"/>
      <charset val="134"/>
    </font>
    <font>
      <sz val="10"/>
      <color rgb="FFFF0000"/>
      <name val="Microsoft Sans Serif"/>
      <charset val="134"/>
    </font>
    <font>
      <sz val="10"/>
      <color indexed="10"/>
      <name val="Microsoft Sans Serif"/>
      <charset val="134"/>
    </font>
    <font>
      <sz val="10"/>
      <color indexed="10"/>
      <name val="Arial"/>
      <charset val="134"/>
    </font>
    <font>
      <b/>
      <sz val="10"/>
      <color rgb="FFFF0000"/>
      <name val="Arial"/>
      <charset val="134"/>
    </font>
    <font>
      <sz val="8"/>
      <name val="Arial"/>
      <charset val="134"/>
    </font>
    <font>
      <b/>
      <sz val="10"/>
      <color rgb="FFFF0000"/>
      <name val="Microsoft Sans Serif"/>
      <charset val="134"/>
    </font>
    <font>
      <sz val="15"/>
      <name val="TH SarabunPSK"/>
      <charset val="134"/>
    </font>
    <font>
      <b/>
      <sz val="11"/>
      <name val="Arial"/>
      <charset val="134"/>
    </font>
    <font>
      <sz val="11"/>
      <color indexed="10"/>
      <name val="Arial"/>
      <charset val="134"/>
    </font>
    <font>
      <b/>
      <sz val="12"/>
      <color rgb="FFFF0000"/>
      <name val="TH SarabunPSK"/>
      <charset val="134"/>
    </font>
    <font>
      <sz val="14"/>
      <name val="Cordia New"/>
      <charset val="134"/>
    </font>
  </fonts>
  <fills count="10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39" fillId="0" borderId="0"/>
  </cellStyleXfs>
  <cellXfs count="9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87" fontId="2" fillId="0" borderId="2" xfId="1" applyNumberFormat="1" applyFont="1" applyBorder="1"/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187" fontId="2" fillId="0" borderId="3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187" fontId="2" fillId="0" borderId="5" xfId="1" applyNumberFormat="1" applyFont="1" applyBorder="1"/>
    <xf numFmtId="187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/>
    <xf numFmtId="187" fontId="3" fillId="0" borderId="2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0" fontId="3" fillId="0" borderId="5" xfId="0" applyFont="1" applyBorder="1"/>
    <xf numFmtId="187" fontId="3" fillId="0" borderId="5" xfId="1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3" fillId="0" borderId="10" xfId="0" applyFont="1" applyBorder="1"/>
    <xf numFmtId="0" fontId="8" fillId="0" borderId="10" xfId="0" applyFont="1" applyBorder="1"/>
    <xf numFmtId="0" fontId="8" fillId="0" borderId="3" xfId="0" applyFont="1" applyBorder="1"/>
    <xf numFmtId="0" fontId="3" fillId="0" borderId="11" xfId="0" applyFont="1" applyBorder="1"/>
    <xf numFmtId="0" fontId="8" fillId="0" borderId="11" xfId="0" applyFont="1" applyBorder="1"/>
    <xf numFmtId="0" fontId="2" fillId="0" borderId="1" xfId="0" applyFont="1" applyBorder="1"/>
    <xf numFmtId="0" fontId="7" fillId="0" borderId="1" xfId="0" applyFont="1" applyBorder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3" xfId="0" applyFont="1" applyFill="1" applyBorder="1"/>
    <xf numFmtId="0" fontId="3" fillId="2" borderId="11" xfId="0" applyFont="1" applyFill="1" applyBorder="1"/>
    <xf numFmtId="0" fontId="2" fillId="2" borderId="1" xfId="0" applyFont="1" applyFill="1" applyBorder="1"/>
    <xf numFmtId="0" fontId="9" fillId="0" borderId="0" xfId="0" applyFont="1"/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/>
    <xf numFmtId="187" fontId="3" fillId="0" borderId="0" xfId="1" applyNumberFormat="1" applyFont="1" applyFill="1"/>
    <xf numFmtId="187" fontId="2" fillId="0" borderId="1" xfId="1" applyNumberFormat="1" applyFont="1" applyFill="1" applyBorder="1" applyAlignment="1">
      <alignment horizontal="center"/>
    </xf>
    <xf numFmtId="3" fontId="2" fillId="0" borderId="11" xfId="2" applyNumberFormat="1" applyFont="1" applyFill="1" applyBorder="1" applyAlignment="1" applyProtection="1">
      <alignment horizontal="center" vertical="center"/>
      <protection locked="0"/>
    </xf>
    <xf numFmtId="187" fontId="2" fillId="0" borderId="1" xfId="1" applyNumberFormat="1" applyFont="1" applyFill="1" applyBorder="1"/>
    <xf numFmtId="3" fontId="2" fillId="0" borderId="1" xfId="2" applyNumberFormat="1" applyFont="1" applyFill="1" applyBorder="1" applyAlignment="1" applyProtection="1">
      <alignment horizontal="left" vertical="center"/>
      <protection locked="0"/>
    </xf>
    <xf numFmtId="187" fontId="3" fillId="0" borderId="1" xfId="1" applyNumberFormat="1" applyFont="1" applyFill="1" applyBorder="1"/>
    <xf numFmtId="3" fontId="3" fillId="0" borderId="2" xfId="1" applyNumberFormat="1" applyFont="1" applyFill="1" applyBorder="1" applyAlignment="1">
      <alignment horizontal="left" indent="1"/>
    </xf>
    <xf numFmtId="187" fontId="3" fillId="0" borderId="2" xfId="1" applyNumberFormat="1" applyFont="1" applyFill="1" applyBorder="1"/>
    <xf numFmtId="3" fontId="3" fillId="0" borderId="3" xfId="1" applyNumberFormat="1" applyFont="1" applyFill="1" applyBorder="1" applyAlignment="1">
      <alignment horizontal="left" indent="1"/>
    </xf>
    <xf numFmtId="187" fontId="3" fillId="0" borderId="3" xfId="1" applyNumberFormat="1" applyFont="1" applyFill="1" applyBorder="1"/>
    <xf numFmtId="3" fontId="3" fillId="0" borderId="4" xfId="2" applyNumberFormat="1" applyFont="1" applyFill="1" applyBorder="1" applyAlignment="1">
      <alignment horizontal="left" indent="1"/>
    </xf>
    <xf numFmtId="187" fontId="3" fillId="0" borderId="4" xfId="1" applyNumberFormat="1" applyFont="1" applyFill="1" applyBorder="1"/>
    <xf numFmtId="3" fontId="2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left" indent="1"/>
    </xf>
    <xf numFmtId="3" fontId="3" fillId="0" borderId="16" xfId="1" applyNumberFormat="1" applyFont="1" applyFill="1" applyBorder="1" applyAlignment="1">
      <alignment horizontal="left" indent="1"/>
    </xf>
    <xf numFmtId="187" fontId="3" fillId="0" borderId="16" xfId="1" applyNumberFormat="1" applyFont="1" applyFill="1" applyBorder="1"/>
    <xf numFmtId="3" fontId="3" fillId="0" borderId="5" xfId="1" applyNumberFormat="1" applyFont="1" applyFill="1" applyBorder="1" applyAlignment="1">
      <alignment horizontal="left" indent="1"/>
    </xf>
    <xf numFmtId="187" fontId="3" fillId="0" borderId="5" xfId="1" applyNumberFormat="1" applyFont="1" applyFill="1" applyBorder="1"/>
    <xf numFmtId="3" fontId="3" fillId="0" borderId="17" xfId="2" applyNumberFormat="1" applyFont="1" applyFill="1" applyBorder="1" applyAlignment="1">
      <alignment horizontal="left" indent="1"/>
    </xf>
    <xf numFmtId="3" fontId="3" fillId="0" borderId="16" xfId="2" applyNumberFormat="1" applyFont="1" applyFill="1" applyBorder="1" applyAlignment="1">
      <alignment horizontal="left" indent="1"/>
    </xf>
    <xf numFmtId="3" fontId="3" fillId="0" borderId="5" xfId="2" applyNumberFormat="1" applyFont="1" applyFill="1" applyBorder="1" applyAlignment="1">
      <alignment horizontal="left" indent="1"/>
    </xf>
    <xf numFmtId="3" fontId="2" fillId="0" borderId="16" xfId="1" applyNumberFormat="1" applyFont="1" applyFill="1" applyBorder="1" applyAlignment="1">
      <alignment horizontal="left"/>
    </xf>
    <xf numFmtId="3" fontId="3" fillId="0" borderId="3" xfId="2" applyNumberFormat="1" applyFont="1" applyFill="1" applyBorder="1" applyAlignment="1">
      <alignment horizontal="left" indent="1"/>
    </xf>
    <xf numFmtId="3" fontId="2" fillId="0" borderId="11" xfId="1" applyNumberFormat="1" applyFont="1" applyFill="1" applyBorder="1" applyAlignment="1">
      <alignment horizontal="left"/>
    </xf>
    <xf numFmtId="187" fontId="3" fillId="0" borderId="11" xfId="1" applyNumberFormat="1" applyFont="1" applyFill="1" applyBorder="1"/>
    <xf numFmtId="187" fontId="3" fillId="0" borderId="17" xfId="1" applyNumberFormat="1" applyFont="1" applyFill="1" applyBorder="1"/>
    <xf numFmtId="3" fontId="2" fillId="2" borderId="1" xfId="2" applyNumberFormat="1" applyFont="1" applyFill="1" applyBorder="1" applyAlignment="1">
      <alignment horizontal="center"/>
    </xf>
    <xf numFmtId="0" fontId="2" fillId="3" borderId="0" xfId="0" applyFont="1" applyFill="1"/>
    <xf numFmtId="187" fontId="2" fillId="3" borderId="18" xfId="1" applyNumberFormat="1" applyFont="1" applyFill="1" applyBorder="1"/>
    <xf numFmtId="187" fontId="2" fillId="3" borderId="16" xfId="1" applyNumberFormat="1" applyFont="1" applyFill="1" applyBorder="1"/>
    <xf numFmtId="187" fontId="2" fillId="3" borderId="0" xfId="1" applyNumberFormat="1" applyFont="1" applyFill="1"/>
    <xf numFmtId="187" fontId="3" fillId="0" borderId="18" xfId="1" applyNumberFormat="1" applyFont="1" applyFill="1" applyBorder="1"/>
    <xf numFmtId="0" fontId="2" fillId="3" borderId="1" xfId="0" applyFont="1" applyFill="1" applyBorder="1"/>
    <xf numFmtId="187" fontId="2" fillId="3" borderId="1" xfId="0" applyNumberFormat="1" applyFont="1" applyFill="1" applyBorder="1"/>
    <xf numFmtId="187" fontId="2" fillId="3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187" fontId="2" fillId="3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7" fontId="3" fillId="0" borderId="0" xfId="1" applyNumberFormat="1" applyFont="1" applyFill="1" applyBorder="1"/>
    <xf numFmtId="187" fontId="3" fillId="0" borderId="0" xfId="1" applyNumberFormat="1" applyFont="1" applyFill="1" applyBorder="1" applyAlignment="1">
      <alignment horizontal="center"/>
    </xf>
    <xf numFmtId="187" fontId="3" fillId="0" borderId="7" xfId="1" applyNumberFormat="1" applyFont="1" applyFill="1" applyBorder="1"/>
    <xf numFmtId="187" fontId="3" fillId="0" borderId="19" xfId="1" applyNumberFormat="1" applyFont="1" applyFill="1" applyBorder="1"/>
    <xf numFmtId="187" fontId="3" fillId="0" borderId="20" xfId="1" applyNumberFormat="1" applyFont="1" applyFill="1" applyBorder="1"/>
    <xf numFmtId="187" fontId="3" fillId="0" borderId="21" xfId="1" applyNumberFormat="1" applyFont="1" applyFill="1" applyBorder="1"/>
    <xf numFmtId="0" fontId="3" fillId="0" borderId="1" xfId="0" applyFont="1" applyFill="1" applyBorder="1"/>
    <xf numFmtId="187" fontId="3" fillId="0" borderId="1" xfId="0" applyNumberFormat="1" applyFont="1" applyFill="1" applyBorder="1"/>
    <xf numFmtId="187" fontId="2" fillId="0" borderId="0" xfId="1" applyNumberFormat="1" applyFont="1" applyFill="1" applyBorder="1"/>
    <xf numFmtId="187" fontId="3" fillId="0" borderId="9" xfId="1" applyNumberFormat="1" applyFont="1" applyFill="1" applyBorder="1"/>
    <xf numFmtId="187" fontId="2" fillId="2" borderId="1" xfId="1" applyNumberFormat="1" applyFont="1" applyFill="1" applyBorder="1"/>
    <xf numFmtId="187" fontId="3" fillId="0" borderId="15" xfId="1" applyNumberFormat="1" applyFont="1" applyFill="1" applyBorder="1"/>
    <xf numFmtId="187" fontId="3" fillId="0" borderId="2" xfId="1" applyNumberFormat="1" applyFont="1" applyBorder="1"/>
    <xf numFmtId="3" fontId="3" fillId="0" borderId="5" xfId="0" applyNumberFormat="1" applyFont="1" applyBorder="1"/>
    <xf numFmtId="187" fontId="2" fillId="0" borderId="1" xfId="0" applyNumberFormat="1" applyFont="1" applyBorder="1"/>
    <xf numFmtId="3" fontId="10" fillId="0" borderId="0" xfId="0" applyNumberFormat="1" applyFont="1"/>
    <xf numFmtId="187" fontId="0" fillId="0" borderId="0" xfId="0" applyNumberFormat="1"/>
    <xf numFmtId="3" fontId="0" fillId="0" borderId="0" xfId="0" applyNumberFormat="1"/>
    <xf numFmtId="187" fontId="3" fillId="0" borderId="0" xfId="0" applyNumberFormat="1" applyFont="1" applyFill="1" applyAlignment="1">
      <alignment horizontal="left"/>
    </xf>
    <xf numFmtId="187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87" fontId="2" fillId="0" borderId="10" xfId="2" applyNumberFormat="1" applyFont="1" applyFill="1" applyBorder="1" applyAlignment="1" applyProtection="1">
      <alignment horizontal="center" vertical="center" wrapText="1"/>
      <protection locked="0"/>
    </xf>
    <xf numFmtId="187" fontId="2" fillId="0" borderId="1" xfId="2" applyNumberFormat="1" applyFont="1" applyFill="1" applyBorder="1" applyAlignment="1" applyProtection="1">
      <alignment horizontal="center" vertical="center"/>
      <protection locked="0"/>
    </xf>
    <xf numFmtId="187" fontId="2" fillId="0" borderId="10" xfId="2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wrapText="1"/>
    </xf>
    <xf numFmtId="187" fontId="3" fillId="0" borderId="1" xfId="0" applyNumberFormat="1" applyFont="1" applyFill="1" applyBorder="1" applyAlignment="1">
      <alignment horizontal="center"/>
    </xf>
    <xf numFmtId="187" fontId="2" fillId="0" borderId="11" xfId="2" applyNumberFormat="1" applyFont="1" applyFill="1" applyBorder="1" applyAlignment="1" applyProtection="1">
      <alignment horizontal="center" vertical="center"/>
      <protection locked="0"/>
    </xf>
    <xf numFmtId="187" fontId="8" fillId="0" borderId="1" xfId="1" applyNumberFormat="1" applyFont="1" applyFill="1" applyBorder="1" applyAlignment="1">
      <alignment horizontal="left"/>
    </xf>
    <xf numFmtId="187" fontId="8" fillId="4" borderId="1" xfId="1" applyNumberFormat="1" applyFont="1" applyFill="1" applyBorder="1" applyAlignment="1">
      <alignment horizontal="center"/>
    </xf>
    <xf numFmtId="187" fontId="8" fillId="0" borderId="1" xfId="1" applyNumberFormat="1" applyFont="1" applyFill="1" applyBorder="1" applyAlignment="1">
      <alignment horizontal="center"/>
    </xf>
    <xf numFmtId="187" fontId="7" fillId="0" borderId="1" xfId="1" applyNumberFormat="1" applyFont="1" applyFill="1" applyBorder="1" applyAlignment="1">
      <alignment horizontal="center"/>
    </xf>
    <xf numFmtId="187" fontId="7" fillId="0" borderId="1" xfId="1" applyNumberFormat="1" applyFont="1" applyFill="1" applyBorder="1" applyAlignment="1">
      <alignment horizontal="left"/>
    </xf>
    <xf numFmtId="187" fontId="7" fillId="0" borderId="0" xfId="1" applyNumberFormat="1" applyFont="1" applyFill="1" applyBorder="1" applyAlignment="1">
      <alignment horizontal="left"/>
    </xf>
    <xf numFmtId="187" fontId="7" fillId="0" borderId="0" xfId="1" applyNumberFormat="1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left"/>
    </xf>
    <xf numFmtId="187" fontId="8" fillId="0" borderId="0" xfId="1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 applyProtection="1">
      <alignment horizontal="center" vertical="center"/>
      <protection locked="0"/>
    </xf>
    <xf numFmtId="187" fontId="8" fillId="0" borderId="1" xfId="0" applyNumberFormat="1" applyFont="1" applyFill="1" applyBorder="1" applyAlignment="1">
      <alignment horizontal="center"/>
    </xf>
    <xf numFmtId="187" fontId="3" fillId="0" borderId="1" xfId="1" applyNumberFormat="1" applyFont="1" applyFill="1" applyBorder="1" applyAlignment="1">
      <alignment horizontal="left"/>
    </xf>
    <xf numFmtId="187" fontId="3" fillId="0" borderId="1" xfId="1" applyNumberFormat="1" applyFont="1" applyFill="1" applyBorder="1" applyAlignment="1">
      <alignment horizontal="center"/>
    </xf>
    <xf numFmtId="187" fontId="3" fillId="4" borderId="1" xfId="1" applyNumberFormat="1" applyFont="1" applyFill="1" applyBorder="1" applyAlignment="1">
      <alignment horizontal="center"/>
    </xf>
    <xf numFmtId="187" fontId="2" fillId="0" borderId="1" xfId="1" applyNumberFormat="1" applyFont="1" applyFill="1" applyBorder="1" applyAlignment="1">
      <alignment horizontal="left"/>
    </xf>
    <xf numFmtId="187" fontId="3" fillId="0" borderId="0" xfId="2" applyNumberFormat="1" applyFont="1" applyFill="1" applyBorder="1" applyAlignment="1">
      <alignment horizontal="left"/>
    </xf>
    <xf numFmtId="187" fontId="3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left"/>
    </xf>
    <xf numFmtId="187" fontId="8" fillId="0" borderId="0" xfId="2" applyNumberFormat="1" applyFont="1" applyFill="1" applyBorder="1" applyAlignment="1">
      <alignment horizontal="center"/>
    </xf>
    <xf numFmtId="187" fontId="2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center"/>
    </xf>
    <xf numFmtId="187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left" indent="1"/>
    </xf>
    <xf numFmtId="3" fontId="3" fillId="0" borderId="0" xfId="1" applyNumberFormat="1" applyFont="1" applyFill="1" applyBorder="1" applyAlignment="1">
      <alignment horizontal="right" indent="1"/>
    </xf>
    <xf numFmtId="187" fontId="2" fillId="0" borderId="0" xfId="2" applyNumberFormat="1" applyFont="1" applyFill="1" applyBorder="1" applyAlignment="1">
      <alignment horizontal="left"/>
    </xf>
    <xf numFmtId="187" fontId="2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187" fontId="2" fillId="0" borderId="1" xfId="0" applyNumberFormat="1" applyFont="1" applyFill="1" applyBorder="1" applyAlignment="1">
      <alignment horizontal="center"/>
    </xf>
    <xf numFmtId="187" fontId="2" fillId="2" borderId="1" xfId="1" applyNumberFormat="1" applyFont="1" applyFill="1" applyBorder="1" applyAlignment="1">
      <alignment horizontal="left"/>
    </xf>
    <xf numFmtId="187" fontId="2" fillId="2" borderId="1" xfId="1" applyNumberFormat="1" applyFont="1" applyFill="1" applyBorder="1" applyAlignment="1">
      <alignment horizontal="center"/>
    </xf>
    <xf numFmtId="187" fontId="3" fillId="2" borderId="1" xfId="1" applyNumberFormat="1" applyFont="1" applyFill="1" applyBorder="1" applyAlignment="1">
      <alignment horizontal="center"/>
    </xf>
    <xf numFmtId="187" fontId="2" fillId="5" borderId="1" xfId="1" applyNumberFormat="1" applyFont="1" applyFill="1" applyBorder="1" applyAlignment="1">
      <alignment horizontal="left"/>
    </xf>
    <xf numFmtId="187" fontId="2" fillId="5" borderId="1" xfId="1" applyNumberFormat="1" applyFont="1" applyFill="1" applyBorder="1" applyAlignment="1">
      <alignment horizontal="center"/>
    </xf>
    <xf numFmtId="187" fontId="2" fillId="0" borderId="12" xfId="1" applyNumberFormat="1" applyFont="1" applyFill="1" applyBorder="1" applyAlignment="1">
      <alignment horizontal="center"/>
    </xf>
    <xf numFmtId="187" fontId="2" fillId="0" borderId="13" xfId="1" applyNumberFormat="1" applyFont="1" applyFill="1" applyBorder="1" applyAlignment="1">
      <alignment horizontal="center"/>
    </xf>
    <xf numFmtId="187" fontId="2" fillId="0" borderId="22" xfId="1" applyNumberFormat="1" applyFont="1" applyFill="1" applyBorder="1" applyAlignment="1">
      <alignment horizontal="center"/>
    </xf>
    <xf numFmtId="187" fontId="10" fillId="0" borderId="0" xfId="0" applyNumberFormat="1" applyFont="1" applyFill="1"/>
    <xf numFmtId="187" fontId="2" fillId="0" borderId="0" xfId="0" applyNumberFormat="1" applyFont="1" applyFill="1" applyBorder="1" applyAlignment="1">
      <alignment horizontal="center"/>
    </xf>
    <xf numFmtId="187" fontId="8" fillId="0" borderId="1" xfId="0" applyNumberFormat="1" applyFont="1" applyFill="1" applyBorder="1" applyAlignment="1"/>
    <xf numFmtId="187" fontId="7" fillId="0" borderId="1" xfId="2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187" fontId="10" fillId="0" borderId="0" xfId="1" applyNumberFormat="1" applyFont="1" applyFill="1"/>
    <xf numFmtId="187" fontId="10" fillId="0" borderId="1" xfId="1" applyNumberFormat="1" applyFont="1" applyFill="1" applyBorder="1" applyAlignment="1">
      <alignment horizontal="center"/>
    </xf>
    <xf numFmtId="3" fontId="13" fillId="0" borderId="11" xfId="2" applyNumberFormat="1" applyFont="1" applyFill="1" applyBorder="1" applyAlignment="1" applyProtection="1">
      <alignment horizontal="center" vertical="center"/>
      <protection locked="0"/>
    </xf>
    <xf numFmtId="187" fontId="10" fillId="0" borderId="1" xfId="1" applyNumberFormat="1" applyFont="1" applyFill="1" applyBorder="1"/>
    <xf numFmtId="3" fontId="13" fillId="0" borderId="16" xfId="2" applyNumberFormat="1" applyFont="1" applyFill="1" applyBorder="1" applyAlignment="1" applyProtection="1">
      <alignment horizontal="left" vertical="center"/>
      <protection locked="0"/>
    </xf>
    <xf numFmtId="3" fontId="13" fillId="0" borderId="0" xfId="2" applyNumberFormat="1" applyFont="1" applyFill="1" applyBorder="1" applyAlignment="1" applyProtection="1">
      <alignment horizontal="left" vertical="center"/>
      <protection locked="0"/>
    </xf>
    <xf numFmtId="187" fontId="10" fillId="0" borderId="0" xfId="1" applyNumberFormat="1" applyFont="1" applyFill="1" applyBorder="1"/>
    <xf numFmtId="3" fontId="13" fillId="0" borderId="11" xfId="2" applyNumberFormat="1" applyFont="1" applyFill="1" applyBorder="1" applyAlignment="1" applyProtection="1">
      <alignment horizontal="left" vertical="center"/>
      <protection locked="0"/>
    </xf>
    <xf numFmtId="3" fontId="13" fillId="0" borderId="9" xfId="2" applyNumberFormat="1" applyFont="1" applyFill="1" applyBorder="1" applyAlignment="1" applyProtection="1">
      <alignment horizontal="left" vertical="center"/>
      <protection locked="0"/>
    </xf>
    <xf numFmtId="187" fontId="10" fillId="0" borderId="9" xfId="1" applyNumberFormat="1" applyFont="1" applyFill="1" applyBorder="1"/>
    <xf numFmtId="3" fontId="14" fillId="0" borderId="10" xfId="1" applyNumberFormat="1" applyFont="1" applyFill="1" applyBorder="1" applyAlignment="1">
      <alignment horizontal="left" indent="1"/>
    </xf>
    <xf numFmtId="187" fontId="10" fillId="0" borderId="10" xfId="1" applyNumberFormat="1" applyFont="1" applyFill="1" applyBorder="1"/>
    <xf numFmtId="3" fontId="14" fillId="0" borderId="3" xfId="1" applyNumberFormat="1" applyFont="1" applyFill="1" applyBorder="1" applyAlignment="1">
      <alignment horizontal="left" indent="1"/>
    </xf>
    <xf numFmtId="187" fontId="10" fillId="0" borderId="3" xfId="1" applyNumberFormat="1" applyFont="1" applyFill="1" applyBorder="1"/>
    <xf numFmtId="3" fontId="14" fillId="0" borderId="17" xfId="2" applyNumberFormat="1" applyFont="1" applyFill="1" applyBorder="1" applyAlignment="1">
      <alignment horizontal="left" indent="1"/>
    </xf>
    <xf numFmtId="187" fontId="10" fillId="0" borderId="17" xfId="1" applyNumberFormat="1" applyFont="1" applyFill="1" applyBorder="1"/>
    <xf numFmtId="3" fontId="13" fillId="0" borderId="1" xfId="1" applyNumberFormat="1" applyFont="1" applyFill="1" applyBorder="1" applyAlignment="1">
      <alignment horizontal="center"/>
    </xf>
    <xf numFmtId="187" fontId="15" fillId="0" borderId="1" xfId="1" applyNumberFormat="1" applyFont="1" applyFill="1" applyBorder="1"/>
    <xf numFmtId="3" fontId="14" fillId="0" borderId="16" xfId="1" applyNumberFormat="1" applyFont="1" applyFill="1" applyBorder="1" applyAlignment="1">
      <alignment horizontal="left" indent="1"/>
    </xf>
    <xf numFmtId="187" fontId="10" fillId="0" borderId="16" xfId="1" applyNumberFormat="1" applyFont="1" applyFill="1" applyBorder="1"/>
    <xf numFmtId="3" fontId="13" fillId="0" borderId="5" xfId="1" applyNumberFormat="1" applyFont="1" applyFill="1" applyBorder="1" applyAlignment="1">
      <alignment horizontal="left"/>
    </xf>
    <xf numFmtId="3" fontId="13" fillId="0" borderId="16" xfId="1" applyNumberFormat="1" applyFont="1" applyFill="1" applyBorder="1" applyAlignment="1">
      <alignment horizontal="left"/>
    </xf>
    <xf numFmtId="3" fontId="14" fillId="0" borderId="3" xfId="2" applyNumberFormat="1" applyFont="1" applyFill="1" applyBorder="1" applyAlignment="1">
      <alignment horizontal="left" indent="1"/>
    </xf>
    <xf numFmtId="3" fontId="14" fillId="0" borderId="16" xfId="2" applyNumberFormat="1" applyFont="1" applyFill="1" applyBorder="1" applyAlignment="1">
      <alignment horizontal="left" indent="1"/>
    </xf>
    <xf numFmtId="187" fontId="10" fillId="0" borderId="11" xfId="1" applyNumberFormat="1" applyFont="1" applyFill="1" applyBorder="1"/>
    <xf numFmtId="3" fontId="13" fillId="0" borderId="0" xfId="1" applyNumberFormat="1" applyFont="1" applyFill="1" applyBorder="1" applyAlignment="1">
      <alignment horizontal="left"/>
    </xf>
    <xf numFmtId="3" fontId="14" fillId="0" borderId="6" xfId="2" applyNumberFormat="1" applyFont="1" applyFill="1" applyBorder="1" applyAlignment="1">
      <alignment horizontal="left" indent="1"/>
    </xf>
    <xf numFmtId="187" fontId="10" fillId="0" borderId="6" xfId="1" applyNumberFormat="1" applyFont="1" applyFill="1" applyBorder="1"/>
    <xf numFmtId="3" fontId="14" fillId="0" borderId="1" xfId="2" applyNumberFormat="1" applyFont="1" applyFill="1" applyBorder="1" applyAlignment="1">
      <alignment horizontal="left" indent="1"/>
    </xf>
    <xf numFmtId="3" fontId="14" fillId="0" borderId="12" xfId="2" applyNumberFormat="1" applyFont="1" applyFill="1" applyBorder="1" applyAlignment="1">
      <alignment horizontal="left" indent="1"/>
    </xf>
    <xf numFmtId="187" fontId="10" fillId="0" borderId="12" xfId="1" applyNumberFormat="1" applyFont="1" applyFill="1" applyBorder="1"/>
    <xf numFmtId="3" fontId="14" fillId="0" borderId="13" xfId="2" applyNumberFormat="1" applyFont="1" applyFill="1" applyBorder="1" applyAlignment="1">
      <alignment horizontal="left" indent="1"/>
    </xf>
    <xf numFmtId="187" fontId="10" fillId="0" borderId="13" xfId="1" applyNumberFormat="1" applyFont="1" applyFill="1" applyBorder="1"/>
    <xf numFmtId="3" fontId="13" fillId="0" borderId="1" xfId="2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6" fillId="4" borderId="6" xfId="0" applyFont="1" applyFill="1" applyBorder="1"/>
    <xf numFmtId="0" fontId="10" fillId="0" borderId="0" xfId="0" applyFont="1" applyFill="1" applyBorder="1" applyAlignment="1">
      <alignment horizontal="center"/>
    </xf>
    <xf numFmtId="187" fontId="10" fillId="0" borderId="0" xfId="1" applyNumberFormat="1" applyFont="1" applyFill="1" applyBorder="1" applyAlignment="1">
      <alignment horizontal="center"/>
    </xf>
    <xf numFmtId="187" fontId="10" fillId="0" borderId="21" xfId="1" applyNumberFormat="1" applyFont="1" applyFill="1" applyBorder="1"/>
    <xf numFmtId="187" fontId="10" fillId="0" borderId="15" xfId="1" applyNumberFormat="1" applyFont="1" applyFill="1" applyBorder="1"/>
    <xf numFmtId="187" fontId="10" fillId="0" borderId="14" xfId="1" applyNumberFormat="1" applyFont="1" applyFill="1" applyBorder="1"/>
    <xf numFmtId="187" fontId="15" fillId="0" borderId="0" xfId="1" applyNumberFormat="1" applyFont="1" applyFill="1" applyBorder="1"/>
    <xf numFmtId="187" fontId="16" fillId="0" borderId="6" xfId="1" applyNumberFormat="1" applyFont="1" applyFill="1" applyBorder="1"/>
    <xf numFmtId="187" fontId="16" fillId="0" borderId="7" xfId="1" applyNumberFormat="1" applyFont="1" applyFill="1" applyBorder="1"/>
    <xf numFmtId="187" fontId="16" fillId="0" borderId="14" xfId="1" applyNumberFormat="1" applyFont="1" applyFill="1" applyBorder="1"/>
    <xf numFmtId="187" fontId="16" fillId="0" borderId="18" xfId="1" applyNumberFormat="1" applyFont="1" applyFill="1" applyBorder="1"/>
    <xf numFmtId="187" fontId="16" fillId="0" borderId="0" xfId="1" applyNumberFormat="1" applyFont="1" applyFill="1" applyBorder="1"/>
    <xf numFmtId="187" fontId="16" fillId="0" borderId="21" xfId="1" applyNumberFormat="1" applyFont="1" applyFill="1" applyBorder="1"/>
    <xf numFmtId="187" fontId="16" fillId="0" borderId="8" xfId="1" applyNumberFormat="1" applyFont="1" applyFill="1" applyBorder="1"/>
    <xf numFmtId="187" fontId="16" fillId="0" borderId="9" xfId="1" applyNumberFormat="1" applyFont="1" applyFill="1" applyBorder="1"/>
    <xf numFmtId="187" fontId="16" fillId="0" borderId="15" xfId="1" applyNumberFormat="1" applyFont="1" applyFill="1" applyBorder="1"/>
    <xf numFmtId="187" fontId="10" fillId="0" borderId="20" xfId="1" applyNumberFormat="1" applyFont="1" applyFill="1" applyBorder="1"/>
    <xf numFmtId="0" fontId="10" fillId="0" borderId="16" xfId="0" applyFont="1" applyFill="1" applyBorder="1"/>
    <xf numFmtId="0" fontId="10" fillId="0" borderId="20" xfId="0" applyFont="1" applyFill="1" applyBorder="1"/>
    <xf numFmtId="43" fontId="15" fillId="0" borderId="16" xfId="0" applyNumberFormat="1" applyFont="1" applyFill="1" applyBorder="1"/>
    <xf numFmtId="43" fontId="10" fillId="0" borderId="0" xfId="0" applyNumberFormat="1" applyFont="1" applyFill="1"/>
    <xf numFmtId="3" fontId="2" fillId="0" borderId="16" xfId="2" applyNumberFormat="1" applyFont="1" applyFill="1" applyBorder="1" applyAlignment="1" applyProtection="1">
      <alignment horizontal="left" vertical="center"/>
      <protection locked="0"/>
    </xf>
    <xf numFmtId="3" fontId="2" fillId="0" borderId="0" xfId="2" applyNumberFormat="1" applyFont="1" applyFill="1" applyBorder="1" applyAlignment="1" applyProtection="1">
      <alignment horizontal="left" vertical="center"/>
      <protection locked="0"/>
    </xf>
    <xf numFmtId="3" fontId="2" fillId="0" borderId="11" xfId="2" applyNumberFormat="1" applyFont="1" applyFill="1" applyBorder="1" applyAlignment="1" applyProtection="1">
      <alignment horizontal="left" vertical="center"/>
      <protection locked="0"/>
    </xf>
    <xf numFmtId="3" fontId="2" fillId="0" borderId="9" xfId="2" applyNumberFormat="1" applyFont="1" applyFill="1" applyBorder="1" applyAlignment="1" applyProtection="1">
      <alignment horizontal="left" vertical="center"/>
      <protection locked="0"/>
    </xf>
    <xf numFmtId="3" fontId="8" fillId="0" borderId="10" xfId="1" applyNumberFormat="1" applyFont="1" applyFill="1" applyBorder="1" applyAlignment="1">
      <alignment horizontal="left" indent="1"/>
    </xf>
    <xf numFmtId="3" fontId="3" fillId="0" borderId="10" xfId="1" applyNumberFormat="1" applyFont="1" applyFill="1" applyBorder="1" applyAlignment="1">
      <alignment horizontal="left" indent="1"/>
    </xf>
    <xf numFmtId="187" fontId="3" fillId="0" borderId="10" xfId="1" applyNumberFormat="1" applyFont="1" applyFill="1" applyBorder="1"/>
    <xf numFmtId="3" fontId="8" fillId="0" borderId="3" xfId="1" applyNumberFormat="1" applyFont="1" applyFill="1" applyBorder="1" applyAlignment="1">
      <alignment horizontal="left" indent="1"/>
    </xf>
    <xf numFmtId="3" fontId="8" fillId="0" borderId="17" xfId="2" applyNumberFormat="1" applyFont="1" applyFill="1" applyBorder="1" applyAlignment="1">
      <alignment horizontal="left" indent="1"/>
    </xf>
    <xf numFmtId="3" fontId="8" fillId="0" borderId="16" xfId="1" applyNumberFormat="1" applyFont="1" applyFill="1" applyBorder="1" applyAlignment="1">
      <alignment horizontal="left" indent="1"/>
    </xf>
    <xf numFmtId="3" fontId="2" fillId="0" borderId="5" xfId="1" applyNumberFormat="1" applyFont="1" applyFill="1" applyBorder="1" applyAlignment="1">
      <alignment horizontal="left"/>
    </xf>
    <xf numFmtId="3" fontId="8" fillId="0" borderId="3" xfId="2" applyNumberFormat="1" applyFont="1" applyFill="1" applyBorder="1" applyAlignment="1">
      <alignment horizontal="left" indent="1"/>
    </xf>
    <xf numFmtId="3" fontId="2" fillId="0" borderId="0" xfId="1" applyNumberFormat="1" applyFont="1" applyFill="1" applyBorder="1" applyAlignment="1">
      <alignment horizontal="left"/>
    </xf>
    <xf numFmtId="3" fontId="3" fillId="0" borderId="6" xfId="2" applyNumberFormat="1" applyFont="1" applyFill="1" applyBorder="1" applyAlignment="1">
      <alignment horizontal="left" indent="1"/>
    </xf>
    <xf numFmtId="187" fontId="3" fillId="0" borderId="6" xfId="1" applyNumberFormat="1" applyFont="1" applyFill="1" applyBorder="1"/>
    <xf numFmtId="3" fontId="3" fillId="0" borderId="12" xfId="2" applyNumberFormat="1" applyFont="1" applyFill="1" applyBorder="1" applyAlignment="1">
      <alignment horizontal="left" indent="1"/>
    </xf>
    <xf numFmtId="187" fontId="3" fillId="0" borderId="12" xfId="1" applyNumberFormat="1" applyFont="1" applyFill="1" applyBorder="1"/>
    <xf numFmtId="187" fontId="3" fillId="0" borderId="13" xfId="1" applyNumberFormat="1" applyFont="1" applyFill="1" applyBorder="1"/>
    <xf numFmtId="3" fontId="3" fillId="0" borderId="13" xfId="2" applyNumberFormat="1" applyFont="1" applyFill="1" applyBorder="1" applyAlignment="1">
      <alignment horizontal="left" indent="1"/>
    </xf>
    <xf numFmtId="3" fontId="2" fillId="0" borderId="1" xfId="2" applyNumberFormat="1" applyFont="1" applyFill="1" applyBorder="1" applyAlignment="1">
      <alignment horizontal="center"/>
    </xf>
    <xf numFmtId="0" fontId="7" fillId="3" borderId="0" xfId="0" applyFont="1" applyFill="1"/>
    <xf numFmtId="187" fontId="2" fillId="3" borderId="6" xfId="1" applyNumberFormat="1" applyFont="1" applyFill="1" applyBorder="1"/>
    <xf numFmtId="187" fontId="2" fillId="3" borderId="10" xfId="1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187" fontId="8" fillId="0" borderId="0" xfId="1" applyNumberFormat="1" applyFont="1" applyFill="1" applyBorder="1"/>
    <xf numFmtId="187" fontId="8" fillId="0" borderId="1" xfId="1" applyNumberFormat="1" applyFont="1" applyFill="1" applyBorder="1"/>
    <xf numFmtId="0" fontId="8" fillId="0" borderId="1" xfId="0" applyFont="1" applyFill="1" applyBorder="1"/>
    <xf numFmtId="187" fontId="8" fillId="0" borderId="1" xfId="0" applyNumberFormat="1" applyFont="1" applyFill="1" applyBorder="1"/>
    <xf numFmtId="187" fontId="7" fillId="0" borderId="0" xfId="1" applyNumberFormat="1" applyFont="1" applyFill="1" applyBorder="1"/>
    <xf numFmtId="187" fontId="3" fillId="0" borderId="14" xfId="1" applyNumberFormat="1" applyFont="1" applyFill="1" applyBorder="1"/>
    <xf numFmtId="187" fontId="3" fillId="0" borderId="8" xfId="1" applyNumberFormat="1" applyFont="1" applyFill="1" applyBorder="1"/>
    <xf numFmtId="3" fontId="2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/>
    <xf numFmtId="1" fontId="2" fillId="0" borderId="1" xfId="2" applyNumberFormat="1" applyFont="1" applyFill="1" applyBorder="1" applyAlignment="1" applyProtection="1">
      <alignment horizontal="center" vertical="center"/>
      <protection locked="0"/>
    </xf>
    <xf numFmtId="1" fontId="2" fillId="0" borderId="1" xfId="2" applyNumberFormat="1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Alignment="1" applyProtection="1">
      <alignment horizontal="center"/>
      <protection locked="0"/>
    </xf>
    <xf numFmtId="3" fontId="3" fillId="0" borderId="16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17" xfId="1" applyNumberFormat="1" applyFont="1" applyFill="1" applyBorder="1" applyAlignment="1">
      <alignment horizontal="left" indent="1"/>
    </xf>
    <xf numFmtId="3" fontId="3" fillId="0" borderId="17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3" fontId="2" fillId="0" borderId="2" xfId="2" applyNumberFormat="1" applyFont="1" applyFill="1" applyBorder="1" applyAlignment="1">
      <alignment horizontal="left"/>
    </xf>
    <xf numFmtId="3" fontId="2" fillId="0" borderId="16" xfId="2" applyNumberFormat="1" applyFont="1" applyFill="1" applyBorder="1" applyAlignment="1">
      <alignment horizontal="left"/>
    </xf>
    <xf numFmtId="3" fontId="3" fillId="0" borderId="16" xfId="2" applyNumberFormat="1" applyFont="1" applyFill="1" applyBorder="1" applyAlignment="1">
      <alignment horizontal="center"/>
    </xf>
    <xf numFmtId="3" fontId="3" fillId="0" borderId="18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3" fontId="3" fillId="0" borderId="24" xfId="2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5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left" indent="1"/>
    </xf>
    <xf numFmtId="3" fontId="3" fillId="0" borderId="2" xfId="2" applyNumberFormat="1" applyFont="1" applyFill="1" applyBorder="1" applyAlignment="1">
      <alignment horizontal="center"/>
    </xf>
    <xf numFmtId="187" fontId="2" fillId="0" borderId="1" xfId="1" applyNumberFormat="1" applyFont="1" applyFill="1" applyBorder="1" applyAlignment="1" applyProtection="1">
      <alignment horizontal="center"/>
      <protection locked="0"/>
    </xf>
    <xf numFmtId="187" fontId="3" fillId="0" borderId="16" xfId="1" applyNumberFormat="1" applyFont="1" applyFill="1" applyBorder="1" applyAlignment="1">
      <alignment horizontal="center"/>
    </xf>
    <xf numFmtId="187" fontId="3" fillId="6" borderId="16" xfId="1" applyNumberFormat="1" applyFont="1" applyFill="1" applyBorder="1" applyAlignment="1">
      <alignment horizontal="center"/>
    </xf>
    <xf numFmtId="187" fontId="3" fillId="0" borderId="3" xfId="1" applyNumberFormat="1" applyFont="1" applyFill="1" applyBorder="1" applyAlignment="1">
      <alignment horizontal="center"/>
    </xf>
    <xf numFmtId="187" fontId="3" fillId="6" borderId="3" xfId="1" applyNumberFormat="1" applyFont="1" applyFill="1" applyBorder="1" applyAlignment="1">
      <alignment horizontal="center"/>
    </xf>
    <xf numFmtId="187" fontId="3" fillId="0" borderId="17" xfId="1" applyNumberFormat="1" applyFont="1" applyFill="1" applyBorder="1" applyAlignment="1">
      <alignment horizontal="center"/>
    </xf>
    <xf numFmtId="187" fontId="3" fillId="6" borderId="17" xfId="1" applyNumberFormat="1" applyFont="1" applyFill="1" applyBorder="1" applyAlignment="1">
      <alignment horizontal="center"/>
    </xf>
    <xf numFmtId="187" fontId="3" fillId="0" borderId="5" xfId="1" applyNumberFormat="1" applyFont="1" applyFill="1" applyBorder="1" applyAlignment="1">
      <alignment horizontal="center"/>
    </xf>
    <xf numFmtId="187" fontId="3" fillId="6" borderId="5" xfId="1" applyNumberFormat="1" applyFont="1" applyFill="1" applyBorder="1" applyAlignment="1">
      <alignment horizontal="center"/>
    </xf>
    <xf numFmtId="187" fontId="2" fillId="4" borderId="1" xfId="1" applyNumberFormat="1" applyFont="1" applyFill="1" applyBorder="1" applyAlignment="1">
      <alignment horizontal="center"/>
    </xf>
    <xf numFmtId="0" fontId="3" fillId="0" borderId="3" xfId="0" applyFont="1" applyFill="1" applyBorder="1"/>
    <xf numFmtId="187" fontId="3" fillId="0" borderId="2" xfId="1" applyNumberFormat="1" applyFont="1" applyFill="1" applyBorder="1" applyAlignment="1">
      <alignment horizontal="center"/>
    </xf>
    <xf numFmtId="187" fontId="3" fillId="6" borderId="2" xfId="1" applyNumberFormat="1" applyFont="1" applyFill="1" applyBorder="1" applyAlignment="1">
      <alignment horizontal="center"/>
    </xf>
    <xf numFmtId="187" fontId="3" fillId="4" borderId="3" xfId="1" applyNumberFormat="1" applyFont="1" applyFill="1" applyBorder="1" applyAlignment="1">
      <alignment horizontal="center"/>
    </xf>
    <xf numFmtId="187" fontId="2" fillId="0" borderId="1" xfId="2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187" fontId="3" fillId="0" borderId="23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87" fontId="7" fillId="0" borderId="1" xfId="0" applyNumberFormat="1" applyFont="1" applyFill="1" applyBorder="1" applyAlignment="1">
      <alignment horizontal="center"/>
    </xf>
    <xf numFmtId="187" fontId="3" fillId="0" borderId="22" xfId="1" applyNumberFormat="1" applyFont="1" applyFill="1" applyBorder="1" applyAlignment="1">
      <alignment horizontal="left"/>
    </xf>
    <xf numFmtId="187" fontId="3" fillId="6" borderId="23" xfId="1" applyNumberFormat="1" applyFont="1" applyFill="1" applyBorder="1"/>
    <xf numFmtId="0" fontId="3" fillId="0" borderId="17" xfId="0" applyFont="1" applyFill="1" applyBorder="1"/>
    <xf numFmtId="187" fontId="8" fillId="0" borderId="22" xfId="1" applyNumberFormat="1" applyFont="1" applyFill="1" applyBorder="1" applyAlignment="1">
      <alignment horizontal="left"/>
    </xf>
    <xf numFmtId="187" fontId="2" fillId="0" borderId="22" xfId="1" applyNumberFormat="1" applyFont="1" applyFill="1" applyBorder="1" applyAlignment="1">
      <alignment horizontal="left"/>
    </xf>
    <xf numFmtId="0" fontId="3" fillId="0" borderId="5" xfId="0" applyFont="1" applyFill="1" applyBorder="1"/>
    <xf numFmtId="3" fontId="3" fillId="0" borderId="1" xfId="1" applyNumberFormat="1" applyFont="1" applyFill="1" applyBorder="1" applyAlignment="1">
      <alignment horizontal="center"/>
    </xf>
    <xf numFmtId="187" fontId="7" fillId="3" borderId="1" xfId="0" applyNumberFormat="1" applyFont="1" applyFill="1" applyBorder="1"/>
    <xf numFmtId="43" fontId="3" fillId="0" borderId="3" xfId="1" applyFont="1" applyFill="1" applyBorder="1"/>
    <xf numFmtId="187" fontId="3" fillId="0" borderId="0" xfId="0" applyNumberFormat="1" applyFont="1" applyFill="1"/>
    <xf numFmtId="3" fontId="2" fillId="0" borderId="0" xfId="2" applyNumberFormat="1" applyFont="1" applyFill="1" applyBorder="1" applyAlignment="1">
      <alignment horizontal="center"/>
    </xf>
    <xf numFmtId="0" fontId="3" fillId="0" borderId="2" xfId="0" applyFont="1" applyFill="1" applyBorder="1"/>
    <xf numFmtId="187" fontId="3" fillId="0" borderId="25" xfId="1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187" fontId="7" fillId="2" borderId="1" xfId="0" applyNumberFormat="1" applyFont="1" applyFill="1" applyBorder="1"/>
    <xf numFmtId="187" fontId="7" fillId="3" borderId="0" xfId="0" applyNumberFormat="1" applyFont="1" applyFill="1"/>
    <xf numFmtId="187" fontId="2" fillId="0" borderId="0" xfId="0" applyNumberFormat="1" applyFont="1" applyFill="1"/>
    <xf numFmtId="187" fontId="8" fillId="0" borderId="0" xfId="0" applyNumberFormat="1" applyFont="1" applyFill="1"/>
    <xf numFmtId="187" fontId="7" fillId="0" borderId="0" xfId="0" applyNumberFormat="1" applyFont="1" applyFill="1"/>
    <xf numFmtId="3" fontId="2" fillId="4" borderId="1" xfId="2" applyNumberFormat="1" applyFont="1" applyFill="1" applyBorder="1" applyAlignment="1">
      <alignment horizontal="center"/>
    </xf>
    <xf numFmtId="0" fontId="3" fillId="5" borderId="0" xfId="0" applyFont="1" applyFill="1"/>
    <xf numFmtId="3" fontId="2" fillId="0" borderId="11" xfId="2" applyNumberFormat="1" applyFont="1" applyFill="1" applyBorder="1" applyAlignment="1">
      <alignment horizontal="center"/>
    </xf>
    <xf numFmtId="3" fontId="2" fillId="0" borderId="11" xfId="1" applyNumberFormat="1" applyFont="1" applyFill="1" applyBorder="1" applyAlignment="1">
      <alignment horizontal="center"/>
    </xf>
    <xf numFmtId="43" fontId="3" fillId="0" borderId="0" xfId="0" applyNumberFormat="1" applyFont="1" applyFill="1"/>
    <xf numFmtId="0" fontId="3" fillId="0" borderId="26" xfId="0" applyFont="1" applyFill="1" applyBorder="1"/>
    <xf numFmtId="0" fontId="3" fillId="0" borderId="0" xfId="0" applyFont="1" applyFill="1" applyBorder="1"/>
    <xf numFmtId="0" fontId="3" fillId="0" borderId="27" xfId="0" applyFont="1" applyFill="1" applyBorder="1"/>
    <xf numFmtId="0" fontId="3" fillId="0" borderId="0" xfId="0" applyFont="1" applyFill="1" applyAlignment="1">
      <alignment horizontal="right"/>
    </xf>
    <xf numFmtId="0" fontId="3" fillId="4" borderId="0" xfId="0" applyFont="1" applyFill="1"/>
    <xf numFmtId="187" fontId="2" fillId="0" borderId="11" xfId="1" applyNumberFormat="1" applyFont="1" applyFill="1" applyBorder="1" applyAlignment="1">
      <alignment horizontal="center"/>
    </xf>
    <xf numFmtId="187" fontId="3" fillId="3" borderId="0" xfId="1" applyNumberFormat="1" applyFont="1" applyFill="1"/>
    <xf numFmtId="187" fontId="2" fillId="4" borderId="0" xfId="1" applyNumberFormat="1" applyFont="1" applyFill="1"/>
    <xf numFmtId="187" fontId="2" fillId="0" borderId="0" xfId="1" applyNumberFormat="1" applyFont="1" applyFill="1"/>
    <xf numFmtId="0" fontId="3" fillId="0" borderId="11" xfId="0" applyFont="1" applyFill="1" applyBorder="1"/>
    <xf numFmtId="3" fontId="2" fillId="7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5" borderId="12" xfId="0" applyFont="1" applyFill="1" applyBorder="1"/>
    <xf numFmtId="0" fontId="3" fillId="5" borderId="13" xfId="0" applyFont="1" applyFill="1" applyBorder="1"/>
    <xf numFmtId="0" fontId="3" fillId="5" borderId="22" xfId="0" applyFont="1" applyFill="1" applyBorder="1"/>
    <xf numFmtId="0" fontId="3" fillId="5" borderId="18" xfId="0" applyFont="1" applyFill="1" applyBorder="1"/>
    <xf numFmtId="0" fontId="3" fillId="5" borderId="0" xfId="0" applyFont="1" applyFill="1" applyBorder="1"/>
    <xf numFmtId="0" fontId="3" fillId="5" borderId="21" xfId="0" applyFont="1" applyFill="1" applyBorder="1"/>
    <xf numFmtId="0" fontId="8" fillId="3" borderId="0" xfId="0" applyFont="1" applyFill="1"/>
    <xf numFmtId="0" fontId="3" fillId="3" borderId="0" xfId="0" applyFont="1" applyFill="1"/>
    <xf numFmtId="1" fontId="2" fillId="3" borderId="10" xfId="2" applyNumberFormat="1" applyFont="1" applyFill="1" applyBorder="1" applyAlignment="1" applyProtection="1">
      <alignment horizontal="center" vertical="center"/>
      <protection locked="0"/>
    </xf>
    <xf numFmtId="1" fontId="2" fillId="3" borderId="1" xfId="2" applyNumberFormat="1" applyFont="1" applyFill="1" applyBorder="1" applyAlignment="1" applyProtection="1">
      <alignment horizontal="center"/>
      <protection locked="0"/>
    </xf>
    <xf numFmtId="3" fontId="2" fillId="3" borderId="11" xfId="2" applyNumberFormat="1" applyFont="1" applyFill="1" applyBorder="1" applyAlignment="1" applyProtection="1">
      <alignment horizontal="center" vertical="center"/>
      <protection locked="0"/>
    </xf>
    <xf numFmtId="3" fontId="2" fillId="3" borderId="1" xfId="2" applyNumberFormat="1" applyFont="1" applyFill="1" applyBorder="1" applyAlignment="1" applyProtection="1">
      <alignment horizontal="center"/>
      <protection locked="0"/>
    </xf>
    <xf numFmtId="3" fontId="2" fillId="0" borderId="10" xfId="2" applyNumberFormat="1" applyFont="1" applyFill="1" applyBorder="1" applyAlignment="1" applyProtection="1">
      <alignment horizontal="left" vertical="center"/>
      <protection locked="0"/>
    </xf>
    <xf numFmtId="3" fontId="2" fillId="0" borderId="10" xfId="2" applyNumberFormat="1" applyFont="1" applyFill="1" applyBorder="1" applyAlignment="1" applyProtection="1">
      <alignment horizontal="center"/>
      <protection locked="0"/>
    </xf>
    <xf numFmtId="3" fontId="3" fillId="0" borderId="10" xfId="1" applyNumberFormat="1" applyFont="1" applyFill="1" applyBorder="1" applyAlignment="1">
      <alignment horizontal="center"/>
    </xf>
    <xf numFmtId="3" fontId="3" fillId="5" borderId="16" xfId="1" applyNumberFormat="1" applyFont="1" applyFill="1" applyBorder="1" applyAlignment="1">
      <alignment horizontal="left" indent="1"/>
    </xf>
    <xf numFmtId="187" fontId="3" fillId="8" borderId="28" xfId="1" applyNumberFormat="1" applyFont="1" applyFill="1" applyBorder="1"/>
    <xf numFmtId="3" fontId="3" fillId="5" borderId="16" xfId="1" applyNumberFormat="1" applyFont="1" applyFill="1" applyBorder="1" applyAlignment="1">
      <alignment horizontal="center"/>
    </xf>
    <xf numFmtId="3" fontId="3" fillId="0" borderId="20" xfId="2" applyNumberFormat="1" applyFont="1" applyFill="1" applyBorder="1" applyAlignment="1">
      <alignment horizontal="center"/>
    </xf>
    <xf numFmtId="3" fontId="8" fillId="0" borderId="3" xfId="2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6" xfId="0" applyFont="1" applyFill="1" applyBorder="1" applyAlignment="1">
      <alignment horizontal="center"/>
    </xf>
    <xf numFmtId="3" fontId="3" fillId="0" borderId="28" xfId="2" applyNumberFormat="1" applyFont="1" applyFill="1" applyBorder="1" applyAlignment="1">
      <alignment horizontal="center"/>
    </xf>
    <xf numFmtId="3" fontId="8" fillId="0" borderId="24" xfId="2" applyNumberFormat="1" applyFont="1" applyFill="1" applyBorder="1" applyAlignment="1">
      <alignment horizontal="center"/>
    </xf>
    <xf numFmtId="3" fontId="8" fillId="0" borderId="17" xfId="2" applyNumberFormat="1" applyFont="1" applyFill="1" applyBorder="1" applyAlignment="1">
      <alignment horizontal="center"/>
    </xf>
    <xf numFmtId="3" fontId="8" fillId="0" borderId="28" xfId="2" applyNumberFormat="1" applyFont="1" applyFill="1" applyBorder="1" applyAlignment="1">
      <alignment horizontal="center"/>
    </xf>
    <xf numFmtId="3" fontId="8" fillId="0" borderId="11" xfId="2" applyNumberFormat="1" applyFont="1" applyFill="1" applyBorder="1" applyAlignment="1">
      <alignment horizontal="center"/>
    </xf>
    <xf numFmtId="3" fontId="2" fillId="0" borderId="10" xfId="2" applyNumberFormat="1" applyFont="1" applyFill="1" applyBorder="1" applyAlignment="1">
      <alignment horizontal="left"/>
    </xf>
    <xf numFmtId="3" fontId="3" fillId="0" borderId="10" xfId="2" applyNumberFormat="1" applyFont="1" applyFill="1" applyBorder="1" applyAlignment="1">
      <alignment horizontal="center"/>
    </xf>
    <xf numFmtId="3" fontId="8" fillId="0" borderId="2" xfId="2" applyNumberFormat="1" applyFont="1" applyFill="1" applyBorder="1" applyAlignment="1">
      <alignment horizontal="left" indent="1"/>
    </xf>
    <xf numFmtId="3" fontId="8" fillId="0" borderId="2" xfId="2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3" fontId="8" fillId="0" borderId="4" xfId="2" applyNumberFormat="1" applyFont="1" applyFill="1" applyBorder="1" applyAlignment="1">
      <alignment horizontal="left" indent="1"/>
    </xf>
    <xf numFmtId="3" fontId="8" fillId="0" borderId="4" xfId="2" applyNumberFormat="1" applyFont="1" applyFill="1" applyBorder="1" applyAlignment="1">
      <alignment horizontal="center"/>
    </xf>
    <xf numFmtId="3" fontId="8" fillId="0" borderId="5" xfId="2" applyNumberFormat="1" applyFont="1" applyFill="1" applyBorder="1" applyAlignment="1">
      <alignment horizontal="center"/>
    </xf>
    <xf numFmtId="3" fontId="2" fillId="9" borderId="1" xfId="2" applyNumberFormat="1" applyFont="1" applyFill="1" applyBorder="1" applyAlignment="1" applyProtection="1">
      <alignment horizontal="center"/>
      <protection locked="0"/>
    </xf>
    <xf numFmtId="3" fontId="2" fillId="0" borderId="16" xfId="2" applyNumberFormat="1" applyFont="1" applyFill="1" applyBorder="1" applyAlignment="1" applyProtection="1">
      <alignment horizontal="center"/>
      <protection locked="0"/>
    </xf>
    <xf numFmtId="3" fontId="3" fillId="6" borderId="10" xfId="1" applyNumberFormat="1" applyFont="1" applyFill="1" applyBorder="1" applyAlignment="1">
      <alignment horizontal="center"/>
    </xf>
    <xf numFmtId="3" fontId="8" fillId="6" borderId="3" xfId="1" applyNumberFormat="1" applyFont="1" applyFill="1" applyBorder="1" applyAlignment="1">
      <alignment horizontal="center"/>
    </xf>
    <xf numFmtId="3" fontId="8" fillId="0" borderId="3" xfId="1" applyNumberFormat="1" applyFont="1" applyFill="1" applyBorder="1" applyAlignment="1">
      <alignment horizontal="center"/>
    </xf>
    <xf numFmtId="3" fontId="3" fillId="6" borderId="3" xfId="1" applyNumberFormat="1" applyFont="1" applyFill="1" applyBorder="1" applyAlignment="1">
      <alignment horizontal="center"/>
    </xf>
    <xf numFmtId="3" fontId="3" fillId="6" borderId="5" xfId="1" applyNumberFormat="1" applyFont="1" applyFill="1" applyBorder="1" applyAlignment="1">
      <alignment horizontal="center"/>
    </xf>
    <xf numFmtId="3" fontId="2" fillId="4" borderId="5" xfId="2" applyNumberFormat="1" applyFont="1" applyFill="1" applyBorder="1" applyAlignment="1">
      <alignment horizontal="center"/>
    </xf>
    <xf numFmtId="0" fontId="8" fillId="0" borderId="16" xfId="0" applyFont="1" applyFill="1" applyBorder="1"/>
    <xf numFmtId="3" fontId="3" fillId="6" borderId="17" xfId="2" applyNumberFormat="1" applyFont="1" applyFill="1" applyBorder="1" applyAlignment="1">
      <alignment horizontal="center"/>
    </xf>
    <xf numFmtId="3" fontId="8" fillId="0" borderId="16" xfId="2" applyNumberFormat="1" applyFont="1" applyFill="1" applyBorder="1" applyAlignment="1">
      <alignment horizontal="center"/>
    </xf>
    <xf numFmtId="3" fontId="3" fillId="6" borderId="2" xfId="2" applyNumberFormat="1" applyFont="1" applyFill="1" applyBorder="1" applyAlignment="1">
      <alignment horizontal="center"/>
    </xf>
    <xf numFmtId="3" fontId="3" fillId="6" borderId="3" xfId="2" applyNumberFormat="1" applyFont="1" applyFill="1" applyBorder="1" applyAlignment="1">
      <alignment horizontal="center"/>
    </xf>
    <xf numFmtId="3" fontId="8" fillId="6" borderId="3" xfId="2" applyNumberFormat="1" applyFont="1" applyFill="1" applyBorder="1" applyAlignment="1">
      <alignment horizontal="center"/>
    </xf>
    <xf numFmtId="3" fontId="3" fillId="4" borderId="3" xfId="2" applyNumberFormat="1" applyFont="1" applyFill="1" applyBorder="1" applyAlignment="1">
      <alignment horizontal="center"/>
    </xf>
    <xf numFmtId="3" fontId="3" fillId="6" borderId="4" xfId="2" applyNumberFormat="1" applyFont="1" applyFill="1" applyBorder="1" applyAlignment="1">
      <alignment horizontal="center"/>
    </xf>
    <xf numFmtId="0" fontId="3" fillId="6" borderId="0" xfId="0" applyFont="1" applyFill="1"/>
    <xf numFmtId="3" fontId="2" fillId="0" borderId="16" xfId="1" applyNumberFormat="1" applyFont="1" applyFill="1" applyBorder="1" applyAlignment="1">
      <alignment horizontal="center"/>
    </xf>
    <xf numFmtId="3" fontId="2" fillId="0" borderId="18" xfId="2" applyNumberFormat="1" applyFont="1" applyFill="1" applyBorder="1" applyAlignment="1">
      <alignment horizontal="center"/>
    </xf>
    <xf numFmtId="3" fontId="2" fillId="0" borderId="16" xfId="2" applyNumberFormat="1" applyFont="1" applyFill="1" applyBorder="1" applyAlignment="1">
      <alignment horizontal="center"/>
    </xf>
    <xf numFmtId="3" fontId="7" fillId="0" borderId="1" xfId="2" applyNumberFormat="1" applyFont="1" applyFill="1" applyBorder="1" applyAlignment="1">
      <alignment horizontal="center"/>
    </xf>
    <xf numFmtId="0" fontId="8" fillId="0" borderId="26" xfId="0" applyFont="1" applyFill="1" applyBorder="1"/>
    <xf numFmtId="187" fontId="2" fillId="4" borderId="0" xfId="0" applyNumberFormat="1" applyFont="1" applyFill="1"/>
    <xf numFmtId="3" fontId="7" fillId="0" borderId="0" xfId="0" applyNumberFormat="1" applyFont="1" applyFill="1"/>
    <xf numFmtId="3" fontId="2" fillId="0" borderId="0" xfId="0" applyNumberFormat="1" applyFont="1" applyFill="1"/>
    <xf numFmtId="3" fontId="3" fillId="5" borderId="8" xfId="0" applyNumberFormat="1" applyFont="1" applyFill="1" applyBorder="1"/>
    <xf numFmtId="3" fontId="3" fillId="5" borderId="9" xfId="0" applyNumberFormat="1" applyFont="1" applyFill="1" applyBorder="1"/>
    <xf numFmtId="0" fontId="3" fillId="5" borderId="15" xfId="0" applyFont="1" applyFill="1" applyBorder="1"/>
    <xf numFmtId="3" fontId="2" fillId="7" borderId="18" xfId="1" applyNumberFormat="1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0" borderId="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3" fontId="19" fillId="0" borderId="10" xfId="2" applyNumberFormat="1" applyFont="1" applyFill="1" applyBorder="1" applyAlignment="1" applyProtection="1">
      <alignment horizontal="right" vertical="center"/>
      <protection locked="0"/>
    </xf>
    <xf numFmtId="187" fontId="2" fillId="0" borderId="0" xfId="2" applyNumberFormat="1" applyFont="1" applyFill="1" applyBorder="1" applyAlignment="1" applyProtection="1">
      <alignment horizontal="center"/>
      <protection locked="0"/>
    </xf>
    <xf numFmtId="3" fontId="19" fillId="0" borderId="1" xfId="2" applyNumberFormat="1" applyFont="1" applyFill="1" applyBorder="1" applyAlignment="1" applyProtection="1">
      <alignment horizontal="left" vertical="center"/>
      <protection locked="0"/>
    </xf>
    <xf numFmtId="187" fontId="19" fillId="0" borderId="1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3" fontId="18" fillId="0" borderId="2" xfId="1" applyNumberFormat="1" applyFont="1" applyFill="1" applyBorder="1" applyAlignment="1">
      <alignment horizontal="left" indent="1"/>
    </xf>
    <xf numFmtId="3" fontId="18" fillId="0" borderId="2" xfId="1" applyNumberFormat="1" applyFont="1" applyFill="1" applyBorder="1" applyAlignment="1">
      <alignment horizontal="right"/>
    </xf>
    <xf numFmtId="3" fontId="18" fillId="0" borderId="3" xfId="1" applyNumberFormat="1" applyFont="1" applyFill="1" applyBorder="1" applyAlignment="1">
      <alignment horizontal="left" indent="1"/>
    </xf>
    <xf numFmtId="3" fontId="18" fillId="0" borderId="3" xfId="1" applyNumberFormat="1" applyFont="1" applyFill="1" applyBorder="1" applyAlignment="1">
      <alignment horizontal="right"/>
    </xf>
    <xf numFmtId="3" fontId="18" fillId="0" borderId="4" xfId="1" applyNumberFormat="1" applyFont="1" applyFill="1" applyBorder="1" applyAlignment="1">
      <alignment horizontal="left" indent="1"/>
    </xf>
    <xf numFmtId="3" fontId="18" fillId="0" borderId="4" xfId="1" applyNumberFormat="1" applyFont="1" applyFill="1" applyBorder="1" applyAlignment="1">
      <alignment horizontal="right"/>
    </xf>
    <xf numFmtId="187" fontId="3" fillId="0" borderId="4" xfId="1" applyNumberFormat="1" applyFont="1" applyFill="1" applyBorder="1" applyAlignment="1">
      <alignment horizontal="center"/>
    </xf>
    <xf numFmtId="3" fontId="19" fillId="0" borderId="1" xfId="1" applyNumberFormat="1" applyFont="1" applyFill="1" applyBorder="1" applyAlignment="1">
      <alignment horizontal="center"/>
    </xf>
    <xf numFmtId="187" fontId="19" fillId="0" borderId="1" xfId="1" applyNumberFormat="1" applyFont="1" applyFill="1" applyBorder="1" applyAlignment="1">
      <alignment horizontal="right"/>
    </xf>
    <xf numFmtId="3" fontId="18" fillId="0" borderId="16" xfId="1" applyNumberFormat="1" applyFont="1" applyFill="1" applyBorder="1" applyAlignment="1">
      <alignment horizontal="left" indent="1"/>
    </xf>
    <xf numFmtId="3" fontId="18" fillId="0" borderId="0" xfId="1" applyNumberFormat="1" applyFont="1" applyFill="1" applyBorder="1" applyAlignment="1">
      <alignment horizontal="right"/>
    </xf>
    <xf numFmtId="3" fontId="18" fillId="0" borderId="5" xfId="1" applyNumberFormat="1" applyFont="1" applyFill="1" applyBorder="1" applyAlignment="1">
      <alignment horizontal="left" indent="1"/>
    </xf>
    <xf numFmtId="3" fontId="19" fillId="0" borderId="10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right"/>
    </xf>
    <xf numFmtId="3" fontId="19" fillId="0" borderId="1" xfId="1" applyNumberFormat="1" applyFont="1" applyFill="1" applyBorder="1" applyAlignment="1">
      <alignment horizontal="left" indent="1"/>
    </xf>
    <xf numFmtId="3" fontId="19" fillId="0" borderId="1" xfId="1" applyNumberFormat="1" applyFont="1" applyFill="1" applyBorder="1" applyAlignment="1">
      <alignment horizontal="right"/>
    </xf>
    <xf numFmtId="187" fontId="18" fillId="0" borderId="2" xfId="1" applyNumberFormat="1" applyFont="1" applyFill="1" applyBorder="1" applyAlignment="1">
      <alignment horizontal="center"/>
    </xf>
    <xf numFmtId="187" fontId="17" fillId="0" borderId="0" xfId="1" applyNumberFormat="1" applyFont="1" applyFill="1" applyBorder="1" applyAlignment="1">
      <alignment horizontal="center"/>
    </xf>
    <xf numFmtId="187" fontId="18" fillId="0" borderId="3" xfId="1" applyNumberFormat="1" applyFont="1" applyFill="1" applyBorder="1" applyAlignment="1">
      <alignment horizontal="center"/>
    </xf>
    <xf numFmtId="187" fontId="18" fillId="0" borderId="4" xfId="1" applyNumberFormat="1" applyFont="1" applyFill="1" applyBorder="1" applyAlignment="1">
      <alignment horizontal="center"/>
    </xf>
    <xf numFmtId="187" fontId="19" fillId="0" borderId="1" xfId="1" applyNumberFormat="1" applyFont="1" applyFill="1" applyBorder="1" applyAlignment="1">
      <alignment horizontal="center"/>
    </xf>
    <xf numFmtId="187" fontId="20" fillId="0" borderId="0" xfId="1" applyNumberFormat="1" applyFont="1" applyFill="1" applyBorder="1" applyAlignment="1">
      <alignment horizontal="center"/>
    </xf>
    <xf numFmtId="3" fontId="19" fillId="0" borderId="1" xfId="1" applyNumberFormat="1" applyFont="1" applyFill="1" applyBorder="1" applyAlignment="1">
      <alignment horizontal="left"/>
    </xf>
    <xf numFmtId="3" fontId="18" fillId="0" borderId="2" xfId="2" applyNumberFormat="1" applyFont="1" applyFill="1" applyBorder="1" applyAlignment="1">
      <alignment horizontal="left" indent="1"/>
    </xf>
    <xf numFmtId="3" fontId="18" fillId="0" borderId="2" xfId="2" applyNumberFormat="1" applyFont="1" applyFill="1" applyBorder="1" applyAlignment="1">
      <alignment horizontal="right"/>
    </xf>
    <xf numFmtId="187" fontId="18" fillId="0" borderId="2" xfId="2" applyNumberFormat="1" applyFont="1" applyFill="1" applyBorder="1" applyAlignment="1">
      <alignment horizontal="center"/>
    </xf>
    <xf numFmtId="3" fontId="21" fillId="0" borderId="3" xfId="2" applyNumberFormat="1" applyFont="1" applyFill="1" applyBorder="1" applyAlignment="1">
      <alignment horizontal="left" indent="1"/>
    </xf>
    <xf numFmtId="3" fontId="18" fillId="0" borderId="3" xfId="2" applyNumberFormat="1" applyFont="1" applyFill="1" applyBorder="1" applyAlignment="1">
      <alignment horizontal="right"/>
    </xf>
    <xf numFmtId="187" fontId="18" fillId="0" borderId="3" xfId="2" applyNumberFormat="1" applyFont="1" applyFill="1" applyBorder="1" applyAlignment="1">
      <alignment horizontal="center"/>
    </xf>
    <xf numFmtId="3" fontId="18" fillId="0" borderId="3" xfId="2" applyNumberFormat="1" applyFont="1" applyFill="1" applyBorder="1" applyAlignment="1">
      <alignment horizontal="left" indent="1"/>
    </xf>
    <xf numFmtId="187" fontId="3" fillId="0" borderId="3" xfId="2" applyNumberFormat="1" applyFont="1" applyFill="1" applyBorder="1" applyAlignment="1">
      <alignment horizontal="center"/>
    </xf>
    <xf numFmtId="3" fontId="18" fillId="0" borderId="23" xfId="2" applyNumberFormat="1" applyFont="1" applyFill="1" applyBorder="1" applyAlignment="1">
      <alignment horizontal="right"/>
    </xf>
    <xf numFmtId="187" fontId="18" fillId="0" borderId="3" xfId="2" applyNumberFormat="1" applyFont="1" applyFill="1" applyBorder="1" applyAlignment="1"/>
    <xf numFmtId="3" fontId="18" fillId="0" borderId="17" xfId="2" applyNumberFormat="1" applyFont="1" applyFill="1" applyBorder="1" applyAlignment="1">
      <alignment horizontal="left" indent="1"/>
    </xf>
    <xf numFmtId="43" fontId="18" fillId="0" borderId="17" xfId="1" applyFont="1" applyFill="1" applyBorder="1" applyAlignment="1">
      <alignment horizontal="right"/>
    </xf>
    <xf numFmtId="187" fontId="3" fillId="0" borderId="17" xfId="2" applyNumberFormat="1" applyFont="1" applyFill="1" applyBorder="1" applyAlignment="1">
      <alignment horizontal="center"/>
    </xf>
    <xf numFmtId="3" fontId="18" fillId="0" borderId="4" xfId="2" applyNumberFormat="1" applyFont="1" applyFill="1" applyBorder="1" applyAlignment="1">
      <alignment horizontal="left" indent="1"/>
    </xf>
    <xf numFmtId="43" fontId="18" fillId="0" borderId="4" xfId="1" applyFont="1" applyFill="1" applyBorder="1" applyAlignment="1">
      <alignment horizontal="right"/>
    </xf>
    <xf numFmtId="187" fontId="3" fillId="0" borderId="4" xfId="2" applyNumberFormat="1" applyFont="1" applyFill="1" applyBorder="1" applyAlignment="1">
      <alignment horizontal="center"/>
    </xf>
    <xf numFmtId="3" fontId="19" fillId="0" borderId="2" xfId="1" applyNumberFormat="1" applyFont="1" applyFill="1" applyBorder="1" applyAlignment="1">
      <alignment horizontal="left" indent="1"/>
    </xf>
    <xf numFmtId="3" fontId="19" fillId="0" borderId="2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 indent="1"/>
    </xf>
    <xf numFmtId="3" fontId="3" fillId="4" borderId="0" xfId="1" applyNumberFormat="1" applyFont="1" applyFill="1" applyBorder="1" applyAlignment="1">
      <alignment horizontal="right" indent="1"/>
    </xf>
    <xf numFmtId="187" fontId="18" fillId="0" borderId="3" xfId="1" applyNumberFormat="1" applyFont="1" applyFill="1" applyBorder="1" applyAlignment="1">
      <alignment horizontal="right"/>
    </xf>
    <xf numFmtId="3" fontId="18" fillId="0" borderId="3" xfId="1" applyNumberFormat="1" applyFont="1" applyFill="1" applyBorder="1" applyAlignment="1">
      <alignment horizontal="right" indent="1"/>
    </xf>
    <xf numFmtId="43" fontId="18" fillId="0" borderId="5" xfId="1" applyFont="1" applyFill="1" applyBorder="1" applyAlignment="1">
      <alignment horizontal="right"/>
    </xf>
    <xf numFmtId="3" fontId="18" fillId="0" borderId="5" xfId="1" applyNumberFormat="1" applyFont="1" applyFill="1" applyBorder="1" applyAlignment="1">
      <alignment horizontal="right" indent="1"/>
    </xf>
    <xf numFmtId="3" fontId="19" fillId="0" borderId="17" xfId="1" applyNumberFormat="1" applyFont="1" applyFill="1" applyBorder="1" applyAlignment="1">
      <alignment horizontal="left" indent="1"/>
    </xf>
    <xf numFmtId="3" fontId="19" fillId="0" borderId="17" xfId="1" applyNumberFormat="1" applyFont="1" applyFill="1" applyBorder="1" applyAlignment="1">
      <alignment horizontal="right"/>
    </xf>
    <xf numFmtId="3" fontId="18" fillId="0" borderId="5" xfId="1" applyNumberFormat="1" applyFont="1" applyFill="1" applyBorder="1" applyAlignment="1">
      <alignment horizontal="right"/>
    </xf>
    <xf numFmtId="3" fontId="19" fillId="0" borderId="1" xfId="2" applyNumberFormat="1" applyFont="1" applyFill="1" applyBorder="1" applyAlignment="1">
      <alignment horizontal="left"/>
    </xf>
    <xf numFmtId="187" fontId="19" fillId="0" borderId="1" xfId="2" applyNumberFormat="1" applyFont="1" applyFill="1" applyBorder="1" applyAlignment="1">
      <alignment horizontal="center"/>
    </xf>
    <xf numFmtId="3" fontId="18" fillId="0" borderId="16" xfId="2" applyNumberFormat="1" applyFont="1" applyFill="1" applyBorder="1" applyAlignment="1">
      <alignment horizontal="left" indent="1"/>
    </xf>
    <xf numFmtId="3" fontId="18" fillId="0" borderId="0" xfId="2" applyNumberFormat="1" applyFont="1" applyFill="1" applyBorder="1" applyAlignment="1">
      <alignment horizontal="right"/>
    </xf>
    <xf numFmtId="187" fontId="17" fillId="0" borderId="0" xfId="2" applyNumberFormat="1" applyFont="1" applyFill="1" applyBorder="1" applyAlignment="1">
      <alignment horizontal="center"/>
    </xf>
    <xf numFmtId="187" fontId="2" fillId="5" borderId="1" xfId="2" applyNumberFormat="1" applyFont="1" applyFill="1" applyBorder="1" applyAlignment="1" applyProtection="1">
      <alignment horizontal="center" vertical="center"/>
      <protection locked="0"/>
    </xf>
    <xf numFmtId="187" fontId="3" fillId="5" borderId="1" xfId="0" applyNumberFormat="1" applyFont="1" applyFill="1" applyBorder="1" applyAlignment="1">
      <alignment horizontal="center"/>
    </xf>
    <xf numFmtId="187" fontId="3" fillId="5" borderId="1" xfId="1" applyNumberFormat="1" applyFont="1" applyFill="1" applyBorder="1" applyAlignment="1">
      <alignment horizontal="left"/>
    </xf>
    <xf numFmtId="187" fontId="3" fillId="5" borderId="1" xfId="1" applyNumberFormat="1" applyFont="1" applyFill="1" applyBorder="1" applyAlignment="1">
      <alignment horizontal="center"/>
    </xf>
    <xf numFmtId="187" fontId="3" fillId="5" borderId="0" xfId="1" applyNumberFormat="1" applyFont="1" applyFill="1" applyBorder="1" applyAlignment="1">
      <alignment horizontal="left"/>
    </xf>
    <xf numFmtId="187" fontId="3" fillId="5" borderId="0" xfId="1" applyNumberFormat="1" applyFont="1" applyFill="1" applyBorder="1" applyAlignment="1">
      <alignment horizontal="center"/>
    </xf>
    <xf numFmtId="187" fontId="20" fillId="0" borderId="1" xfId="1" applyNumberFormat="1" applyFont="1" applyFill="1" applyBorder="1" applyAlignment="1">
      <alignment horizontal="center"/>
    </xf>
    <xf numFmtId="187" fontId="17" fillId="0" borderId="1" xfId="1" applyNumberFormat="1" applyFont="1" applyFill="1" applyBorder="1" applyAlignment="1">
      <alignment horizontal="left"/>
    </xf>
    <xf numFmtId="187" fontId="17" fillId="0" borderId="1" xfId="1" applyNumberFormat="1" applyFont="1" applyFill="1" applyBorder="1" applyAlignment="1">
      <alignment horizontal="center"/>
    </xf>
    <xf numFmtId="187" fontId="3" fillId="0" borderId="16" xfId="2" applyNumberFormat="1" applyFont="1" applyFill="1" applyBorder="1" applyAlignment="1">
      <alignment horizontal="center"/>
    </xf>
    <xf numFmtId="187" fontId="17" fillId="0" borderId="0" xfId="2" applyNumberFormat="1" applyFont="1" applyFill="1" applyBorder="1" applyAlignment="1">
      <alignment horizontal="left"/>
    </xf>
    <xf numFmtId="3" fontId="8" fillId="0" borderId="0" xfId="0" applyNumberFormat="1" applyFont="1" applyFill="1"/>
    <xf numFmtId="187" fontId="3" fillId="4" borderId="0" xfId="0" applyNumberFormat="1" applyFont="1" applyFill="1"/>
    <xf numFmtId="3" fontId="17" fillId="0" borderId="0" xfId="0" applyNumberFormat="1" applyFont="1" applyFill="1"/>
    <xf numFmtId="187" fontId="17" fillId="0" borderId="0" xfId="0" applyNumberFormat="1" applyFont="1" applyFill="1"/>
    <xf numFmtId="3" fontId="24" fillId="0" borderId="3" xfId="2" applyNumberFormat="1" applyFont="1" applyFill="1" applyBorder="1" applyAlignment="1">
      <alignment horizontal="left" indent="1"/>
    </xf>
    <xf numFmtId="3" fontId="18" fillId="0" borderId="4" xfId="2" applyNumberFormat="1" applyFont="1" applyFill="1" applyBorder="1" applyAlignment="1">
      <alignment horizontal="right"/>
    </xf>
    <xf numFmtId="187" fontId="18" fillId="0" borderId="4" xfId="2" applyNumberFormat="1" applyFont="1" applyFill="1" applyBorder="1" applyAlignment="1">
      <alignment horizontal="center"/>
    </xf>
    <xf numFmtId="3" fontId="19" fillId="0" borderId="1" xfId="2" applyNumberFormat="1" applyFont="1" applyFill="1" applyBorder="1" applyAlignment="1">
      <alignment horizontal="left" indent="1"/>
    </xf>
    <xf numFmtId="187" fontId="20" fillId="0" borderId="0" xfId="2" applyNumberFormat="1" applyFont="1" applyFill="1" applyBorder="1" applyAlignment="1">
      <alignment horizontal="center"/>
    </xf>
    <xf numFmtId="187" fontId="18" fillId="0" borderId="0" xfId="2" applyNumberFormat="1" applyFont="1" applyFill="1" applyBorder="1" applyAlignment="1">
      <alignment horizontal="center"/>
    </xf>
    <xf numFmtId="3" fontId="19" fillId="0" borderId="2" xfId="1" applyNumberFormat="1" applyFont="1" applyFill="1" applyBorder="1" applyAlignment="1">
      <alignment horizontal="left"/>
    </xf>
    <xf numFmtId="187" fontId="19" fillId="4" borderId="2" xfId="1" applyNumberFormat="1" applyFont="1" applyFill="1" applyBorder="1" applyAlignment="1">
      <alignment horizontal="center"/>
    </xf>
    <xf numFmtId="187" fontId="19" fillId="0" borderId="2" xfId="1" applyNumberFormat="1" applyFont="1" applyFill="1" applyBorder="1" applyAlignment="1">
      <alignment horizontal="center"/>
    </xf>
    <xf numFmtId="3" fontId="19" fillId="0" borderId="3" xfId="1" applyNumberFormat="1" applyFont="1" applyFill="1" applyBorder="1" applyAlignment="1">
      <alignment horizontal="left"/>
    </xf>
    <xf numFmtId="187" fontId="19" fillId="4" borderId="3" xfId="1" applyNumberFormat="1" applyFont="1" applyFill="1" applyBorder="1" applyAlignment="1">
      <alignment horizontal="center"/>
    </xf>
    <xf numFmtId="187" fontId="19" fillId="0" borderId="3" xfId="1" applyNumberFormat="1" applyFont="1" applyFill="1" applyBorder="1" applyAlignment="1">
      <alignment horizontal="center"/>
    </xf>
    <xf numFmtId="3" fontId="3" fillId="0" borderId="11" xfId="1" applyNumberFormat="1" applyFont="1" applyFill="1" applyBorder="1" applyAlignment="1">
      <alignment horizontal="left" indent="1"/>
    </xf>
    <xf numFmtId="187" fontId="3" fillId="0" borderId="11" xfId="1" applyNumberFormat="1" applyFont="1" applyFill="1" applyBorder="1" applyAlignment="1">
      <alignment horizontal="center"/>
    </xf>
    <xf numFmtId="187" fontId="2" fillId="0" borderId="1" xfId="2" applyNumberFormat="1" applyFont="1" applyFill="1" applyBorder="1" applyAlignment="1">
      <alignment horizontal="center"/>
    </xf>
    <xf numFmtId="3" fontId="18" fillId="0" borderId="3" xfId="2" applyNumberFormat="1" applyFont="1" applyFill="1" applyBorder="1" applyAlignment="1">
      <alignment horizontal="left" indent="3"/>
    </xf>
    <xf numFmtId="3" fontId="18" fillId="0" borderId="5" xfId="2" applyNumberFormat="1" applyFont="1" applyFill="1" applyBorder="1" applyAlignment="1">
      <alignment horizontal="left" indent="1"/>
    </xf>
    <xf numFmtId="187" fontId="3" fillId="0" borderId="2" xfId="2" applyNumberFormat="1" applyFont="1" applyFill="1" applyBorder="1" applyAlignment="1">
      <alignment horizontal="center"/>
    </xf>
    <xf numFmtId="43" fontId="18" fillId="0" borderId="3" xfId="1" applyFont="1" applyFill="1" applyBorder="1" applyAlignment="1">
      <alignment horizontal="right"/>
    </xf>
    <xf numFmtId="3" fontId="7" fillId="0" borderId="3" xfId="2" applyNumberFormat="1" applyFont="1" applyFill="1" applyBorder="1" applyAlignment="1">
      <alignment horizontal="left" indent="1"/>
    </xf>
    <xf numFmtId="3" fontId="7" fillId="0" borderId="3" xfId="2" applyNumberFormat="1" applyFont="1" applyFill="1" applyBorder="1" applyAlignment="1">
      <alignment horizontal="right"/>
    </xf>
    <xf numFmtId="187" fontId="7" fillId="0" borderId="3" xfId="2" applyNumberFormat="1" applyFont="1" applyFill="1" applyBorder="1" applyAlignment="1">
      <alignment horizontal="center"/>
    </xf>
    <xf numFmtId="3" fontId="18" fillId="0" borderId="5" xfId="2" applyNumberFormat="1" applyFont="1" applyFill="1" applyBorder="1" applyAlignment="1">
      <alignment horizontal="right"/>
    </xf>
    <xf numFmtId="187" fontId="3" fillId="0" borderId="5" xfId="2" applyNumberFormat="1" applyFont="1" applyFill="1" applyBorder="1" applyAlignment="1">
      <alignment horizontal="center"/>
    </xf>
    <xf numFmtId="3" fontId="19" fillId="0" borderId="1" xfId="2" applyNumberFormat="1" applyFont="1" applyFill="1" applyBorder="1" applyAlignment="1">
      <alignment horizontal="right"/>
    </xf>
    <xf numFmtId="187" fontId="20" fillId="0" borderId="0" xfId="2" applyNumberFormat="1" applyFont="1" applyFill="1" applyBorder="1" applyAlignment="1">
      <alignment horizontal="left"/>
    </xf>
    <xf numFmtId="187" fontId="20" fillId="0" borderId="0" xfId="1" applyNumberFormat="1" applyFont="1" applyFill="1" applyBorder="1" applyAlignment="1">
      <alignment horizontal="left"/>
    </xf>
    <xf numFmtId="187" fontId="17" fillId="0" borderId="0" xfId="1" applyNumberFormat="1" applyFont="1" applyFill="1" applyBorder="1" applyAlignment="1">
      <alignment horizontal="left"/>
    </xf>
    <xf numFmtId="187" fontId="7" fillId="0" borderId="0" xfId="2" applyNumberFormat="1" applyFont="1" applyFill="1" applyBorder="1" applyAlignment="1">
      <alignment horizontal="left"/>
    </xf>
    <xf numFmtId="3" fontId="17" fillId="4" borderId="0" xfId="0" applyNumberFormat="1" applyFont="1" applyFill="1"/>
    <xf numFmtId="3" fontId="8" fillId="4" borderId="0" xfId="0" applyNumberFormat="1" applyFont="1" applyFill="1"/>
    <xf numFmtId="3" fontId="17" fillId="0" borderId="3" xfId="2" applyNumberFormat="1" applyFont="1" applyFill="1" applyBorder="1" applyAlignment="1">
      <alignment horizontal="left" indent="1"/>
    </xf>
    <xf numFmtId="3" fontId="17" fillId="0" borderId="3" xfId="2" applyNumberFormat="1" applyFont="1" applyFill="1" applyBorder="1" applyAlignment="1">
      <alignment horizontal="right"/>
    </xf>
    <xf numFmtId="187" fontId="17" fillId="0" borderId="3" xfId="2" applyNumberFormat="1" applyFont="1" applyFill="1" applyBorder="1" applyAlignment="1">
      <alignment horizontal="center"/>
    </xf>
    <xf numFmtId="3" fontId="18" fillId="0" borderId="1" xfId="2" applyNumberFormat="1" applyFont="1" applyFill="1" applyBorder="1" applyAlignment="1">
      <alignment horizontal="center"/>
    </xf>
    <xf numFmtId="3" fontId="19" fillId="2" borderId="1" xfId="2" applyNumberFormat="1" applyFont="1" applyFill="1" applyBorder="1" applyAlignment="1">
      <alignment horizontal="center"/>
    </xf>
    <xf numFmtId="187" fontId="19" fillId="2" borderId="1" xfId="2" applyNumberFormat="1" applyFont="1" applyFill="1" applyBorder="1" applyAlignment="1">
      <alignment horizontal="center"/>
    </xf>
    <xf numFmtId="187" fontId="2" fillId="2" borderId="1" xfId="2" applyNumberFormat="1" applyFont="1" applyFill="1" applyBorder="1" applyAlignment="1">
      <alignment horizontal="center"/>
    </xf>
    <xf numFmtId="0" fontId="25" fillId="4" borderId="18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right"/>
    </xf>
    <xf numFmtId="0" fontId="18" fillId="3" borderId="18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right"/>
    </xf>
    <xf numFmtId="0" fontId="18" fillId="3" borderId="8" xfId="0" applyFont="1" applyFill="1" applyBorder="1"/>
    <xf numFmtId="187" fontId="3" fillId="4" borderId="0" xfId="2" applyNumberFormat="1" applyFont="1" applyFill="1" applyBorder="1" applyAlignment="1">
      <alignment horizontal="left"/>
    </xf>
    <xf numFmtId="3" fontId="3" fillId="4" borderId="0" xfId="0" applyNumberFormat="1" applyFont="1" applyFill="1"/>
    <xf numFmtId="0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2" applyNumberFormat="1" applyFont="1" applyFill="1" applyBorder="1" applyAlignment="1" applyProtection="1">
      <alignment horizontal="center" vertical="center"/>
      <protection locked="0"/>
    </xf>
    <xf numFmtId="187" fontId="2" fillId="0" borderId="8" xfId="2" applyNumberFormat="1" applyFont="1" applyFill="1" applyBorder="1" applyAlignment="1" applyProtection="1">
      <alignment vertical="center" wrapText="1"/>
      <protection locked="0"/>
    </xf>
    <xf numFmtId="187" fontId="2" fillId="0" borderId="9" xfId="2" applyNumberFormat="1" applyFont="1" applyFill="1" applyBorder="1" applyAlignment="1" applyProtection="1">
      <alignment vertical="center" wrapText="1"/>
      <protection locked="0"/>
    </xf>
    <xf numFmtId="187" fontId="2" fillId="0" borderId="16" xfId="2" applyNumberFormat="1" applyFont="1" applyFill="1" applyBorder="1" applyAlignment="1" applyProtection="1">
      <alignment horizontal="center" vertical="center"/>
      <protection locked="0"/>
    </xf>
    <xf numFmtId="3" fontId="8" fillId="0" borderId="10" xfId="1" applyNumberFormat="1" applyFont="1" applyFill="1" applyBorder="1" applyAlignment="1">
      <alignment horizontal="center"/>
    </xf>
    <xf numFmtId="3" fontId="8" fillId="0" borderId="10" xfId="1" applyNumberFormat="1" applyFont="1" applyFill="1" applyBorder="1" applyAlignment="1">
      <alignment horizontal="right" indent="1"/>
    </xf>
    <xf numFmtId="187" fontId="8" fillId="0" borderId="10" xfId="1" applyNumberFormat="1" applyFont="1" applyFill="1" applyBorder="1" applyAlignment="1">
      <alignment horizontal="center"/>
    </xf>
    <xf numFmtId="187" fontId="8" fillId="0" borderId="10" xfId="1" applyNumberFormat="1" applyFont="1" applyFill="1" applyBorder="1" applyAlignment="1"/>
    <xf numFmtId="3" fontId="8" fillId="0" borderId="3" xfId="1" applyNumberFormat="1" applyFont="1" applyFill="1" applyBorder="1" applyAlignment="1">
      <alignment horizontal="right" indent="1"/>
    </xf>
    <xf numFmtId="187" fontId="8" fillId="0" borderId="3" xfId="1" applyNumberFormat="1" applyFont="1" applyFill="1" applyBorder="1" applyAlignment="1">
      <alignment horizontal="center"/>
    </xf>
    <xf numFmtId="187" fontId="8" fillId="0" borderId="3" xfId="1" applyNumberFormat="1" applyFont="1" applyFill="1" applyBorder="1" applyAlignment="1"/>
    <xf numFmtId="3" fontId="26" fillId="0" borderId="3" xfId="1" applyNumberFormat="1" applyFont="1" applyFill="1" applyBorder="1" applyAlignment="1">
      <alignment horizontal="left" indent="1"/>
    </xf>
    <xf numFmtId="3" fontId="8" fillId="5" borderId="3" xfId="1" applyNumberFormat="1" applyFont="1" applyFill="1" applyBorder="1" applyAlignment="1">
      <alignment horizontal="center"/>
    </xf>
    <xf numFmtId="3" fontId="8" fillId="5" borderId="3" xfId="1" applyNumberFormat="1" applyFont="1" applyFill="1" applyBorder="1" applyAlignment="1">
      <alignment horizontal="right" indent="1"/>
    </xf>
    <xf numFmtId="187" fontId="8" fillId="5" borderId="3" xfId="1" applyNumberFormat="1" applyFont="1" applyFill="1" applyBorder="1" applyAlignment="1">
      <alignment horizontal="center"/>
    </xf>
    <xf numFmtId="187" fontId="3" fillId="0" borderId="3" xfId="1" applyNumberFormat="1" applyFont="1" applyFill="1" applyBorder="1" applyAlignment="1"/>
    <xf numFmtId="3" fontId="8" fillId="0" borderId="17" xfId="1" applyNumberFormat="1" applyFont="1" applyFill="1" applyBorder="1" applyAlignment="1">
      <alignment horizontal="left" indent="1"/>
    </xf>
    <xf numFmtId="3" fontId="8" fillId="0" borderId="16" xfId="1" applyNumberFormat="1" applyFont="1" applyFill="1" applyBorder="1" applyAlignment="1">
      <alignment horizontal="center"/>
    </xf>
    <xf numFmtId="3" fontId="8" fillId="0" borderId="16" xfId="1" applyNumberFormat="1" applyFont="1" applyFill="1" applyBorder="1" applyAlignment="1">
      <alignment horizontal="right" indent="1"/>
    </xf>
    <xf numFmtId="187" fontId="8" fillId="0" borderId="16" xfId="1" applyNumberFormat="1" applyFont="1" applyFill="1" applyBorder="1" applyAlignment="1">
      <alignment horizontal="center"/>
    </xf>
    <xf numFmtId="187" fontId="8" fillId="0" borderId="16" xfId="1" applyNumberFormat="1" applyFont="1" applyFill="1" applyBorder="1" applyAlignment="1"/>
    <xf numFmtId="3" fontId="3" fillId="0" borderId="5" xfId="1" applyNumberFormat="1" applyFont="1" applyFill="1" applyBorder="1" applyAlignment="1">
      <alignment horizontal="right" indent="1"/>
    </xf>
    <xf numFmtId="3" fontId="2" fillId="0" borderId="1" xfId="1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left" indent="1"/>
    </xf>
    <xf numFmtId="3" fontId="6" fillId="0" borderId="5" xfId="1" applyNumberFormat="1" applyFont="1" applyFill="1" applyBorder="1" applyAlignment="1">
      <alignment horizontal="left" indent="1"/>
    </xf>
    <xf numFmtId="3" fontId="1" fillId="0" borderId="5" xfId="1" applyNumberFormat="1" applyFont="1" applyFill="1" applyBorder="1" applyAlignment="1">
      <alignment horizontal="right" indent="1"/>
    </xf>
    <xf numFmtId="187" fontId="1" fillId="0" borderId="5" xfId="1" applyNumberFormat="1" applyFont="1" applyFill="1" applyBorder="1" applyAlignment="1">
      <alignment horizontal="center"/>
    </xf>
    <xf numFmtId="3" fontId="8" fillId="0" borderId="5" xfId="1" applyNumberFormat="1" applyFont="1" applyFill="1" applyBorder="1" applyAlignment="1">
      <alignment horizontal="left" indent="1"/>
    </xf>
    <xf numFmtId="3" fontId="8" fillId="0" borderId="17" xfId="2" applyNumberFormat="1" applyFont="1" applyFill="1" applyBorder="1" applyAlignment="1">
      <alignment horizontal="right" indent="1"/>
    </xf>
    <xf numFmtId="187" fontId="8" fillId="0" borderId="17" xfId="2" applyNumberFormat="1" applyFont="1" applyFill="1" applyBorder="1" applyAlignment="1">
      <alignment horizontal="center"/>
    </xf>
    <xf numFmtId="3" fontId="8" fillId="0" borderId="3" xfId="2" applyNumberFormat="1" applyFont="1" applyFill="1" applyBorder="1" applyAlignment="1">
      <alignment horizontal="right" indent="1"/>
    </xf>
    <xf numFmtId="187" fontId="8" fillId="0" borderId="3" xfId="2" applyNumberFormat="1" applyFont="1" applyFill="1" applyBorder="1" applyAlignment="1">
      <alignment horizontal="center"/>
    </xf>
    <xf numFmtId="43" fontId="3" fillId="0" borderId="3" xfId="1" applyFont="1" applyFill="1" applyBorder="1" applyAlignment="1">
      <alignment horizontal="right" indent="1"/>
    </xf>
    <xf numFmtId="3" fontId="3" fillId="0" borderId="3" xfId="2" applyNumberFormat="1" applyFont="1" applyFill="1" applyBorder="1" applyAlignment="1">
      <alignment horizontal="right" indent="1"/>
    </xf>
    <xf numFmtId="3" fontId="3" fillId="0" borderId="17" xfId="2" applyNumberFormat="1" applyFont="1" applyFill="1" applyBorder="1" applyAlignment="1">
      <alignment horizontal="right" indent="1"/>
    </xf>
    <xf numFmtId="187" fontId="2" fillId="4" borderId="1" xfId="2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>
      <alignment horizontal="left" indent="1"/>
    </xf>
    <xf numFmtId="187" fontId="2" fillId="0" borderId="15" xfId="2" applyNumberFormat="1" applyFont="1" applyFill="1" applyBorder="1" applyAlignment="1" applyProtection="1">
      <alignment vertical="center" wrapText="1"/>
      <protection locked="0"/>
    </xf>
    <xf numFmtId="187" fontId="8" fillId="5" borderId="1" xfId="1" applyNumberFormat="1" applyFont="1" applyFill="1" applyBorder="1" applyAlignment="1">
      <alignment horizontal="left"/>
    </xf>
    <xf numFmtId="187" fontId="7" fillId="5" borderId="1" xfId="1" applyNumberFormat="1" applyFont="1" applyFill="1" applyBorder="1" applyAlignment="1">
      <alignment horizontal="center"/>
    </xf>
    <xf numFmtId="187" fontId="7" fillId="5" borderId="1" xfId="1" applyNumberFormat="1" applyFont="1" applyFill="1" applyBorder="1" applyAlignment="1">
      <alignment horizontal="left"/>
    </xf>
    <xf numFmtId="187" fontId="8" fillId="5" borderId="0" xfId="1" applyNumberFormat="1" applyFont="1" applyFill="1" applyBorder="1" applyAlignment="1">
      <alignment horizontal="left"/>
    </xf>
    <xf numFmtId="3" fontId="3" fillId="4" borderId="5" xfId="1" applyNumberFormat="1" applyFont="1" applyFill="1" applyBorder="1" applyAlignment="1">
      <alignment horizontal="right" indent="1"/>
    </xf>
    <xf numFmtId="187" fontId="3" fillId="0" borderId="10" xfId="1" applyNumberFormat="1" applyFont="1" applyFill="1" applyBorder="1" applyAlignment="1">
      <alignment horizontal="center"/>
    </xf>
    <xf numFmtId="187" fontId="7" fillId="5" borderId="1" xfId="2" applyNumberFormat="1" applyFont="1" applyFill="1" applyBorder="1" applyAlignment="1" applyProtection="1">
      <alignment horizontal="center" vertical="center"/>
      <protection locked="0"/>
    </xf>
    <xf numFmtId="187" fontId="8" fillId="5" borderId="1" xfId="0" applyNumberFormat="1" applyFont="1" applyFill="1" applyBorder="1" applyAlignment="1">
      <alignment horizontal="center"/>
    </xf>
    <xf numFmtId="187" fontId="8" fillId="5" borderId="1" xfId="1" applyNumberFormat="1" applyFont="1" applyFill="1" applyBorder="1" applyAlignment="1">
      <alignment horizontal="center"/>
    </xf>
    <xf numFmtId="187" fontId="8" fillId="5" borderId="0" xfId="1" applyNumberFormat="1" applyFont="1" applyFill="1" applyBorder="1" applyAlignment="1">
      <alignment horizontal="center"/>
    </xf>
    <xf numFmtId="3" fontId="27" fillId="0" borderId="0" xfId="0" applyNumberFormat="1" applyFont="1" applyFill="1"/>
    <xf numFmtId="3" fontId="3" fillId="0" borderId="5" xfId="2" applyNumberFormat="1" applyFont="1" applyFill="1" applyBorder="1" applyAlignment="1">
      <alignment horizontal="right" indent="1"/>
    </xf>
    <xf numFmtId="3" fontId="3" fillId="2" borderId="3" xfId="2" applyNumberFormat="1" applyFont="1" applyFill="1" applyBorder="1" applyAlignment="1">
      <alignment horizontal="left" indent="1"/>
    </xf>
    <xf numFmtId="3" fontId="8" fillId="0" borderId="5" xfId="2" applyNumberFormat="1" applyFont="1" applyFill="1" applyBorder="1" applyAlignment="1">
      <alignment horizontal="left" indent="1"/>
    </xf>
    <xf numFmtId="3" fontId="8" fillId="0" borderId="5" xfId="2" applyNumberFormat="1" applyFont="1" applyFill="1" applyBorder="1" applyAlignment="1">
      <alignment horizontal="right" indent="1"/>
    </xf>
    <xf numFmtId="187" fontId="8" fillId="0" borderId="5" xfId="2" applyNumberFormat="1" applyFont="1" applyFill="1" applyBorder="1" applyAlignment="1">
      <alignment horizontal="center"/>
    </xf>
    <xf numFmtId="3" fontId="8" fillId="0" borderId="16" xfId="2" applyNumberFormat="1" applyFont="1" applyFill="1" applyBorder="1" applyAlignment="1">
      <alignment horizontal="left" indent="1"/>
    </xf>
    <xf numFmtId="3" fontId="3" fillId="0" borderId="16" xfId="2" applyNumberFormat="1" applyFont="1" applyFill="1" applyBorder="1" applyAlignment="1">
      <alignment horizontal="right" indent="1"/>
    </xf>
    <xf numFmtId="187" fontId="8" fillId="5" borderId="3" xfId="2" applyNumberFormat="1" applyFont="1" applyFill="1" applyBorder="1" applyAlignment="1">
      <alignment horizontal="center"/>
    </xf>
    <xf numFmtId="0" fontId="8" fillId="0" borderId="3" xfId="2" applyNumberFormat="1" applyFont="1" applyFill="1" applyBorder="1" applyAlignment="1">
      <alignment horizontal="center"/>
    </xf>
    <xf numFmtId="3" fontId="8" fillId="0" borderId="16" xfId="2" applyNumberFormat="1" applyFont="1" applyFill="1" applyBorder="1" applyAlignment="1">
      <alignment horizontal="right" indent="1"/>
    </xf>
    <xf numFmtId="187" fontId="8" fillId="0" borderId="16" xfId="2" applyNumberFormat="1" applyFont="1" applyFill="1" applyBorder="1" applyAlignment="1">
      <alignment horizontal="center"/>
    </xf>
    <xf numFmtId="187" fontId="2" fillId="5" borderId="1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187" fontId="3" fillId="3" borderId="1" xfId="0" applyNumberFormat="1" applyFont="1" applyFill="1" applyBorder="1" applyAlignment="1">
      <alignment horizontal="center"/>
    </xf>
    <xf numFmtId="0" fontId="8" fillId="3" borderId="8" xfId="0" applyFont="1" applyFill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horizontal="right"/>
    </xf>
    <xf numFmtId="187" fontId="1" fillId="0" borderId="0" xfId="0" applyNumberFormat="1" applyFont="1" applyFill="1" applyAlignment="1">
      <alignment horizontal="center"/>
    </xf>
    <xf numFmtId="187" fontId="3" fillId="5" borderId="14" xfId="0" applyNumberFormat="1" applyFont="1" applyFill="1" applyBorder="1" applyAlignment="1">
      <alignment horizontal="center"/>
    </xf>
    <xf numFmtId="187" fontId="2" fillId="5" borderId="21" xfId="0" applyNumberFormat="1" applyFont="1" applyFill="1" applyBorder="1" applyAlignment="1">
      <alignment horizontal="center"/>
    </xf>
    <xf numFmtId="187" fontId="3" fillId="5" borderId="21" xfId="0" applyNumberFormat="1" applyFont="1" applyFill="1" applyBorder="1" applyAlignment="1">
      <alignment horizontal="center"/>
    </xf>
    <xf numFmtId="187" fontId="3" fillId="3" borderId="21" xfId="0" applyNumberFormat="1" applyFont="1" applyFill="1" applyBorder="1" applyAlignment="1">
      <alignment horizontal="center"/>
    </xf>
    <xf numFmtId="0" fontId="16" fillId="0" borderId="0" xfId="0" applyFont="1" applyFill="1"/>
    <xf numFmtId="1" fontId="13" fillId="0" borderId="10" xfId="2" applyNumberFormat="1" applyFont="1" applyFill="1" applyBorder="1" applyAlignment="1" applyProtection="1">
      <alignment horizontal="center" vertical="center"/>
      <protection locked="0"/>
    </xf>
    <xf numFmtId="3" fontId="13" fillId="0" borderId="1" xfId="2" applyNumberFormat="1" applyFont="1" applyFill="1" applyBorder="1" applyAlignment="1" applyProtection="1">
      <alignment horizontal="center"/>
      <protection locked="0"/>
    </xf>
    <xf numFmtId="3" fontId="13" fillId="0" borderId="10" xfId="2" applyNumberFormat="1" applyFont="1" applyFill="1" applyBorder="1" applyAlignment="1" applyProtection="1">
      <alignment horizontal="left" vertical="center"/>
      <protection locked="0"/>
    </xf>
    <xf numFmtId="3" fontId="13" fillId="0" borderId="10" xfId="2" applyNumberFormat="1" applyFont="1" applyFill="1" applyBorder="1" applyAlignment="1" applyProtection="1">
      <alignment horizontal="center"/>
      <protection locked="0"/>
    </xf>
    <xf numFmtId="3" fontId="14" fillId="0" borderId="10" xfId="1" applyNumberFormat="1" applyFont="1" applyFill="1" applyBorder="1" applyAlignment="1">
      <alignment horizontal="center"/>
    </xf>
    <xf numFmtId="3" fontId="14" fillId="0" borderId="3" xfId="1" applyNumberFormat="1" applyFont="1" applyFill="1" applyBorder="1" applyAlignment="1">
      <alignment horizontal="center"/>
    </xf>
    <xf numFmtId="3" fontId="14" fillId="5" borderId="16" xfId="1" applyNumberFormat="1" applyFont="1" applyFill="1" applyBorder="1" applyAlignment="1">
      <alignment horizontal="left" indent="1"/>
    </xf>
    <xf numFmtId="187" fontId="10" fillId="8" borderId="28" xfId="1" applyNumberFormat="1" applyFont="1" applyFill="1" applyBorder="1"/>
    <xf numFmtId="3" fontId="14" fillId="5" borderId="16" xfId="1" applyNumberFormat="1" applyFont="1" applyFill="1" applyBorder="1" applyAlignment="1">
      <alignment horizontal="center"/>
    </xf>
    <xf numFmtId="3" fontId="13" fillId="0" borderId="2" xfId="2" applyNumberFormat="1" applyFont="1" applyFill="1" applyBorder="1" applyAlignment="1">
      <alignment horizontal="left"/>
    </xf>
    <xf numFmtId="3" fontId="14" fillId="0" borderId="2" xfId="2" applyNumberFormat="1" applyFont="1" applyFill="1" applyBorder="1" applyAlignment="1">
      <alignment horizontal="center"/>
    </xf>
    <xf numFmtId="3" fontId="14" fillId="0" borderId="20" xfId="2" applyNumberFormat="1" applyFont="1" applyFill="1" applyBorder="1" applyAlignment="1">
      <alignment horizontal="center"/>
    </xf>
    <xf numFmtId="3" fontId="14" fillId="0" borderId="3" xfId="2" applyNumberFormat="1" applyFont="1" applyFill="1" applyBorder="1" applyAlignment="1">
      <alignment horizontal="center"/>
    </xf>
    <xf numFmtId="3" fontId="14" fillId="0" borderId="17" xfId="2" applyNumberFormat="1" applyFont="1" applyFill="1" applyBorder="1" applyAlignment="1">
      <alignment horizontal="center"/>
    </xf>
    <xf numFmtId="3" fontId="14" fillId="0" borderId="28" xfId="2" applyNumberFormat="1" applyFont="1" applyFill="1" applyBorder="1" applyAlignment="1">
      <alignment horizontal="center"/>
    </xf>
    <xf numFmtId="3" fontId="14" fillId="0" borderId="24" xfId="2" applyNumberFormat="1" applyFont="1" applyFill="1" applyBorder="1" applyAlignment="1">
      <alignment horizontal="center"/>
    </xf>
    <xf numFmtId="3" fontId="14" fillId="0" borderId="11" xfId="2" applyNumberFormat="1" applyFont="1" applyFill="1" applyBorder="1" applyAlignment="1">
      <alignment horizontal="center"/>
    </xf>
    <xf numFmtId="3" fontId="14" fillId="0" borderId="16" xfId="2" applyNumberFormat="1" applyFont="1" applyFill="1" applyBorder="1" applyAlignment="1">
      <alignment horizontal="center"/>
    </xf>
    <xf numFmtId="3" fontId="13" fillId="0" borderId="10" xfId="2" applyNumberFormat="1" applyFont="1" applyFill="1" applyBorder="1" applyAlignment="1">
      <alignment horizontal="left"/>
    </xf>
    <xf numFmtId="3" fontId="14" fillId="0" borderId="10" xfId="2" applyNumberFormat="1" applyFont="1" applyFill="1" applyBorder="1" applyAlignment="1">
      <alignment horizontal="center"/>
    </xf>
    <xf numFmtId="3" fontId="14" fillId="0" borderId="2" xfId="2" applyNumberFormat="1" applyFont="1" applyFill="1" applyBorder="1" applyAlignment="1">
      <alignment horizontal="left" indent="1"/>
    </xf>
    <xf numFmtId="3" fontId="14" fillId="5" borderId="2" xfId="2" applyNumberFormat="1" applyFont="1" applyFill="1" applyBorder="1" applyAlignment="1">
      <alignment horizontal="left" indent="1"/>
    </xf>
    <xf numFmtId="3" fontId="14" fillId="0" borderId="4" xfId="2" applyNumberFormat="1" applyFont="1" applyFill="1" applyBorder="1" applyAlignment="1">
      <alignment horizontal="left" indent="1"/>
    </xf>
    <xf numFmtId="3" fontId="14" fillId="0" borderId="4" xfId="2" applyNumberFormat="1" applyFont="1" applyFill="1" applyBorder="1" applyAlignment="1">
      <alignment horizontal="center"/>
    </xf>
    <xf numFmtId="3" fontId="14" fillId="0" borderId="5" xfId="2" applyNumberFormat="1" applyFont="1" applyFill="1" applyBorder="1" applyAlignment="1">
      <alignment horizontal="center"/>
    </xf>
    <xf numFmtId="3" fontId="13" fillId="0" borderId="16" xfId="2" applyNumberFormat="1" applyFont="1" applyFill="1" applyBorder="1" applyAlignment="1">
      <alignment horizontal="left"/>
    </xf>
    <xf numFmtId="3" fontId="13" fillId="9" borderId="1" xfId="2" applyNumberFormat="1" applyFont="1" applyFill="1" applyBorder="1" applyAlignment="1" applyProtection="1">
      <alignment horizontal="center"/>
      <protection locked="0"/>
    </xf>
    <xf numFmtId="3" fontId="13" fillId="0" borderId="16" xfId="2" applyNumberFormat="1" applyFont="1" applyFill="1" applyBorder="1" applyAlignment="1" applyProtection="1">
      <alignment horizontal="center"/>
      <protection locked="0"/>
    </xf>
    <xf numFmtId="3" fontId="29" fillId="6" borderId="10" xfId="1" applyNumberFormat="1" applyFont="1" applyFill="1" applyBorder="1" applyAlignment="1">
      <alignment horizontal="center"/>
    </xf>
    <xf numFmtId="3" fontId="29" fillId="0" borderId="5" xfId="2" applyNumberFormat="1" applyFont="1" applyFill="1" applyBorder="1" applyAlignment="1">
      <alignment horizontal="center"/>
    </xf>
    <xf numFmtId="3" fontId="29" fillId="6" borderId="3" xfId="1" applyNumberFormat="1" applyFont="1" applyFill="1" applyBorder="1" applyAlignment="1">
      <alignment horizontal="center"/>
    </xf>
    <xf numFmtId="3" fontId="29" fillId="0" borderId="3" xfId="1" applyNumberFormat="1" applyFont="1" applyFill="1" applyBorder="1" applyAlignment="1">
      <alignment horizontal="center"/>
    </xf>
    <xf numFmtId="0" fontId="16" fillId="6" borderId="0" xfId="0" applyFont="1" applyFill="1"/>
    <xf numFmtId="3" fontId="14" fillId="6" borderId="3" xfId="1" applyNumberFormat="1" applyFont="1" applyFill="1" applyBorder="1" applyAlignment="1">
      <alignment horizontal="center"/>
    </xf>
    <xf numFmtId="3" fontId="30" fillId="6" borderId="5" xfId="1" applyNumberFormat="1" applyFont="1" applyFill="1" applyBorder="1" applyAlignment="1">
      <alignment horizontal="center"/>
    </xf>
    <xf numFmtId="3" fontId="14" fillId="0" borderId="5" xfId="1" applyNumberFormat="1" applyFont="1" applyFill="1" applyBorder="1" applyAlignment="1">
      <alignment horizontal="center"/>
    </xf>
    <xf numFmtId="3" fontId="13" fillId="4" borderId="5" xfId="2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29" fillId="0" borderId="3" xfId="2" applyNumberFormat="1" applyFont="1" applyFill="1" applyBorder="1" applyAlignment="1">
      <alignment horizontal="center"/>
    </xf>
    <xf numFmtId="3" fontId="29" fillId="6" borderId="17" xfId="2" applyNumberFormat="1" applyFont="1" applyFill="1" applyBorder="1" applyAlignment="1">
      <alignment horizontal="center"/>
    </xf>
    <xf numFmtId="3" fontId="29" fillId="0" borderId="17" xfId="2" applyNumberFormat="1" applyFont="1" applyFill="1" applyBorder="1" applyAlignment="1">
      <alignment horizontal="center"/>
    </xf>
    <xf numFmtId="3" fontId="14" fillId="6" borderId="17" xfId="2" applyNumberFormat="1" applyFont="1" applyFill="1" applyBorder="1" applyAlignment="1">
      <alignment horizontal="center"/>
    </xf>
    <xf numFmtId="3" fontId="13" fillId="0" borderId="18" xfId="2" applyNumberFormat="1" applyFont="1" applyFill="1" applyBorder="1" applyAlignment="1">
      <alignment horizontal="center"/>
    </xf>
    <xf numFmtId="3" fontId="29" fillId="0" borderId="2" xfId="2" applyNumberFormat="1" applyFont="1" applyFill="1" applyBorder="1" applyAlignment="1">
      <alignment horizontal="center"/>
    </xf>
    <xf numFmtId="3" fontId="29" fillId="6" borderId="2" xfId="2" applyNumberFormat="1" applyFont="1" applyFill="1" applyBorder="1" applyAlignment="1">
      <alignment horizontal="center"/>
    </xf>
    <xf numFmtId="3" fontId="29" fillId="6" borderId="3" xfId="2" applyNumberFormat="1" applyFont="1" applyFill="1" applyBorder="1" applyAlignment="1">
      <alignment horizontal="center"/>
    </xf>
    <xf numFmtId="3" fontId="14" fillId="4" borderId="3" xfId="2" applyNumberFormat="1" applyFont="1" applyFill="1" applyBorder="1" applyAlignment="1">
      <alignment horizontal="center"/>
    </xf>
    <xf numFmtId="3" fontId="14" fillId="6" borderId="3" xfId="2" applyNumberFormat="1" applyFont="1" applyFill="1" applyBorder="1" applyAlignment="1">
      <alignment horizontal="center"/>
    </xf>
    <xf numFmtId="3" fontId="29" fillId="6" borderId="4" xfId="2" applyNumberFormat="1" applyFont="1" applyFill="1" applyBorder="1" applyAlignment="1">
      <alignment horizontal="center"/>
    </xf>
    <xf numFmtId="3" fontId="13" fillId="0" borderId="16" xfId="2" applyNumberFormat="1" applyFont="1" applyFill="1" applyBorder="1" applyAlignment="1">
      <alignment horizontal="center"/>
    </xf>
    <xf numFmtId="0" fontId="31" fillId="0" borderId="0" xfId="0" applyFont="1" applyFill="1"/>
    <xf numFmtId="0" fontId="1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187" fontId="32" fillId="0" borderId="1" xfId="2" applyNumberFormat="1" applyFont="1" applyFill="1" applyBorder="1" applyAlignment="1" applyProtection="1">
      <alignment horizontal="center" vertical="center"/>
      <protection locked="0"/>
    </xf>
    <xf numFmtId="187" fontId="16" fillId="0" borderId="1" xfId="0" applyNumberFormat="1" applyFont="1" applyFill="1" applyBorder="1" applyAlignment="1">
      <alignment horizontal="center"/>
    </xf>
    <xf numFmtId="187" fontId="16" fillId="0" borderId="1" xfId="1" applyNumberFormat="1" applyFont="1" applyFill="1" applyBorder="1" applyAlignment="1">
      <alignment horizontal="left"/>
    </xf>
    <xf numFmtId="187" fontId="16" fillId="0" borderId="1" xfId="1" applyNumberFormat="1" applyFont="1" applyFill="1" applyBorder="1" applyAlignment="1">
      <alignment horizontal="center"/>
    </xf>
    <xf numFmtId="187" fontId="32" fillId="0" borderId="1" xfId="1" applyNumberFormat="1" applyFont="1" applyFill="1" applyBorder="1" applyAlignment="1">
      <alignment horizontal="center"/>
    </xf>
    <xf numFmtId="187" fontId="32" fillId="0" borderId="1" xfId="1" applyNumberFormat="1" applyFont="1" applyFill="1" applyBorder="1" applyAlignment="1">
      <alignment horizontal="left"/>
    </xf>
    <xf numFmtId="0" fontId="16" fillId="0" borderId="1" xfId="0" applyFont="1" applyFill="1" applyBorder="1"/>
    <xf numFmtId="3" fontId="16" fillId="0" borderId="1" xfId="0" applyNumberFormat="1" applyFont="1" applyFill="1" applyBorder="1"/>
    <xf numFmtId="3" fontId="16" fillId="0" borderId="1" xfId="1" applyNumberFormat="1" applyFont="1" applyFill="1" applyBorder="1" applyAlignment="1">
      <alignment horizontal="center"/>
    </xf>
    <xf numFmtId="3" fontId="32" fillId="0" borderId="1" xfId="1" applyNumberFormat="1" applyFont="1" applyFill="1" applyBorder="1" applyAlignment="1">
      <alignment horizontal="center"/>
    </xf>
    <xf numFmtId="3" fontId="10" fillId="0" borderId="0" xfId="0" applyNumberFormat="1" applyFont="1" applyFill="1"/>
    <xf numFmtId="187" fontId="32" fillId="0" borderId="1" xfId="0" applyNumberFormat="1" applyFont="1" applyFill="1" applyBorder="1"/>
    <xf numFmtId="3" fontId="15" fillId="0" borderId="0" xfId="2" applyNumberFormat="1" applyFont="1" applyFill="1" applyBorder="1" applyAlignment="1">
      <alignment horizontal="center"/>
    </xf>
    <xf numFmtId="3" fontId="15" fillId="4" borderId="1" xfId="2" applyNumberFormat="1" applyFont="1" applyFill="1" applyBorder="1" applyAlignment="1">
      <alignment horizontal="center"/>
    </xf>
    <xf numFmtId="0" fontId="10" fillId="5" borderId="0" xfId="0" applyFont="1" applyFill="1"/>
    <xf numFmtId="3" fontId="16" fillId="0" borderId="0" xfId="0" applyNumberFormat="1" applyFont="1" applyFill="1"/>
    <xf numFmtId="0" fontId="10" fillId="5" borderId="12" xfId="0" applyFont="1" applyFill="1" applyBorder="1"/>
    <xf numFmtId="0" fontId="10" fillId="5" borderId="13" xfId="0" applyFont="1" applyFill="1" applyBorder="1"/>
    <xf numFmtId="0" fontId="10" fillId="5" borderId="22" xfId="0" applyFont="1" applyFill="1" applyBorder="1"/>
    <xf numFmtId="0" fontId="10" fillId="5" borderId="18" xfId="0" applyFont="1" applyFill="1" applyBorder="1"/>
    <xf numFmtId="0" fontId="10" fillId="5" borderId="0" xfId="0" applyFont="1" applyFill="1" applyBorder="1"/>
    <xf numFmtId="0" fontId="10" fillId="5" borderId="21" xfId="0" applyFont="1" applyFill="1" applyBorder="1"/>
    <xf numFmtId="3" fontId="10" fillId="5" borderId="8" xfId="0" applyNumberFormat="1" applyFont="1" applyFill="1" applyBorder="1"/>
    <xf numFmtId="3" fontId="10" fillId="5" borderId="9" xfId="0" applyNumberFormat="1" applyFont="1" applyFill="1" applyBorder="1"/>
    <xf numFmtId="0" fontId="10" fillId="5" borderId="15" xfId="0" applyFont="1" applyFill="1" applyBorder="1"/>
    <xf numFmtId="0" fontId="10" fillId="4" borderId="0" xfId="0" applyFont="1" applyFill="1"/>
    <xf numFmtId="187" fontId="16" fillId="0" borderId="0" xfId="0" applyNumberFormat="1" applyFont="1" applyFill="1"/>
    <xf numFmtId="3" fontId="14" fillId="0" borderId="5" xfId="2" applyNumberFormat="1" applyFont="1" applyFill="1" applyBorder="1" applyAlignment="1">
      <alignment horizontal="left" indent="1"/>
    </xf>
    <xf numFmtId="3" fontId="13" fillId="0" borderId="11" xfId="1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10" fillId="0" borderId="0" xfId="0" applyFont="1" applyFill="1" applyAlignment="1">
      <alignment horizontal="right"/>
    </xf>
    <xf numFmtId="3" fontId="34" fillId="0" borderId="1" xfId="2" applyNumberFormat="1" applyFont="1" applyFill="1" applyBorder="1" applyAlignment="1">
      <alignment horizontal="center"/>
    </xf>
    <xf numFmtId="3" fontId="15" fillId="7" borderId="18" xfId="1" applyNumberFormat="1" applyFont="1" applyFill="1" applyBorder="1" applyAlignment="1">
      <alignment horizontal="center"/>
    </xf>
    <xf numFmtId="3" fontId="15" fillId="7" borderId="0" xfId="1" applyNumberFormat="1" applyFont="1" applyFill="1" applyBorder="1" applyAlignment="1">
      <alignment horizontal="center"/>
    </xf>
    <xf numFmtId="1" fontId="2" fillId="0" borderId="10" xfId="2" applyNumberFormat="1" applyFont="1" applyFill="1" applyBorder="1" applyAlignment="1" applyProtection="1">
      <alignment horizontal="center" vertical="center"/>
      <protection locked="0"/>
    </xf>
    <xf numFmtId="3" fontId="8" fillId="5" borderId="2" xfId="2" applyNumberFormat="1" applyFont="1" applyFill="1" applyBorder="1" applyAlignment="1">
      <alignment horizontal="left" indent="1"/>
    </xf>
    <xf numFmtId="3" fontId="3" fillId="5" borderId="2" xfId="2" applyNumberFormat="1" applyFont="1" applyFill="1" applyBorder="1" applyAlignment="1">
      <alignment horizontal="left" indent="1"/>
    </xf>
    <xf numFmtId="3" fontId="8" fillId="6" borderId="2" xfId="2" applyNumberFormat="1" applyFont="1" applyFill="1" applyBorder="1" applyAlignment="1">
      <alignment horizontal="center"/>
    </xf>
    <xf numFmtId="187" fontId="2" fillId="0" borderId="1" xfId="0" applyNumberFormat="1" applyFont="1" applyFill="1" applyBorder="1"/>
    <xf numFmtId="187" fontId="8" fillId="4" borderId="0" xfId="0" applyNumberFormat="1" applyFont="1" applyFill="1"/>
    <xf numFmtId="0" fontId="8" fillId="4" borderId="0" xfId="0" applyFont="1" applyFill="1"/>
    <xf numFmtId="0" fontId="8" fillId="5" borderId="0" xfId="0" applyFont="1" applyFill="1"/>
    <xf numFmtId="0" fontId="10" fillId="4" borderId="6" xfId="0" applyFont="1" applyFill="1" applyBorder="1"/>
    <xf numFmtId="3" fontId="3" fillId="0" borderId="10" xfId="1" applyNumberFormat="1" applyFont="1" applyFill="1" applyBorder="1" applyAlignment="1">
      <alignment horizontal="right" indent="1"/>
    </xf>
    <xf numFmtId="3" fontId="35" fillId="0" borderId="3" xfId="1" applyNumberFormat="1" applyFont="1" applyFill="1" applyBorder="1" applyAlignment="1">
      <alignment horizontal="left" indent="1"/>
    </xf>
    <xf numFmtId="3" fontId="3" fillId="0" borderId="16" xfId="1" applyNumberFormat="1" applyFont="1" applyFill="1" applyBorder="1" applyAlignment="1">
      <alignment horizontal="right" indent="1"/>
    </xf>
    <xf numFmtId="3" fontId="8" fillId="4" borderId="5" xfId="1" applyNumberFormat="1" applyFont="1" applyFill="1" applyBorder="1" applyAlignment="1">
      <alignment horizontal="left" indent="1"/>
    </xf>
    <xf numFmtId="3" fontId="3" fillId="0" borderId="3" xfId="2" applyNumberFormat="1" applyFont="1" applyFill="1" applyBorder="1" applyAlignment="1">
      <alignment horizontal="left" indent="3"/>
    </xf>
    <xf numFmtId="0" fontId="3" fillId="0" borderId="3" xfId="2" applyNumberFormat="1" applyFont="1" applyFill="1" applyBorder="1" applyAlignment="1">
      <alignment horizontal="center"/>
    </xf>
    <xf numFmtId="0" fontId="10" fillId="0" borderId="7" xfId="0" applyFont="1" applyFill="1" applyBorder="1"/>
    <xf numFmtId="0" fontId="3" fillId="0" borderId="7" xfId="0" applyFont="1" applyFill="1" applyBorder="1" applyAlignment="1">
      <alignment horizontal="right"/>
    </xf>
    <xf numFmtId="187" fontId="3" fillId="0" borderId="14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87" fontId="3" fillId="0" borderId="21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3" fontId="8" fillId="4" borderId="3" xfId="1" applyNumberFormat="1" applyFont="1" applyFill="1" applyBorder="1" applyAlignment="1">
      <alignment horizontal="left" indent="1"/>
    </xf>
    <xf numFmtId="3" fontId="8" fillId="4" borderId="3" xfId="1" applyNumberFormat="1" applyFont="1" applyFill="1" applyBorder="1" applyAlignment="1">
      <alignment horizontal="right" indent="1"/>
    </xf>
    <xf numFmtId="187" fontId="3" fillId="4" borderId="5" xfId="1" applyNumberFormat="1" applyFont="1" applyFill="1" applyBorder="1" applyAlignment="1">
      <alignment horizontal="center"/>
    </xf>
    <xf numFmtId="3" fontId="3" fillId="4" borderId="5" xfId="1" applyNumberFormat="1" applyFont="1" applyFill="1" applyBorder="1" applyAlignment="1">
      <alignment horizontal="left" indent="1"/>
    </xf>
    <xf numFmtId="43" fontId="8" fillId="0" borderId="3" xfId="1" applyFont="1" applyFill="1" applyBorder="1" applyAlignment="1">
      <alignment horizontal="right" indent="1"/>
    </xf>
    <xf numFmtId="3" fontId="8" fillId="4" borderId="17" xfId="2" applyNumberFormat="1" applyFont="1" applyFill="1" applyBorder="1" applyAlignment="1">
      <alignment horizontal="left" indent="1"/>
    </xf>
    <xf numFmtId="3" fontId="8" fillId="4" borderId="17" xfId="2" applyNumberFormat="1" applyFont="1" applyFill="1" applyBorder="1" applyAlignment="1">
      <alignment horizontal="right" indent="1"/>
    </xf>
    <xf numFmtId="187" fontId="8" fillId="4" borderId="17" xfId="2" applyNumberFormat="1" applyFont="1" applyFill="1" applyBorder="1" applyAlignment="1">
      <alignment horizontal="center"/>
    </xf>
    <xf numFmtId="187" fontId="8" fillId="4" borderId="0" xfId="2" applyNumberFormat="1" applyFont="1" applyFill="1" applyBorder="1" applyAlignment="1">
      <alignment horizontal="left"/>
    </xf>
    <xf numFmtId="187" fontId="3" fillId="4" borderId="3" xfId="2" applyNumberFormat="1" applyFont="1" applyFill="1" applyBorder="1" applyAlignment="1">
      <alignment horizontal="center"/>
    </xf>
    <xf numFmtId="187" fontId="8" fillId="4" borderId="3" xfId="2" applyNumberFormat="1" applyFont="1" applyFill="1" applyBorder="1" applyAlignment="1">
      <alignment horizontal="center"/>
    </xf>
    <xf numFmtId="0" fontId="10" fillId="4" borderId="7" xfId="0" applyFont="1" applyFill="1" applyBorder="1"/>
    <xf numFmtId="0" fontId="2" fillId="4" borderId="7" xfId="0" applyFont="1" applyFill="1" applyBorder="1" applyAlignment="1">
      <alignment horizontal="right"/>
    </xf>
    <xf numFmtId="187" fontId="8" fillId="0" borderId="0" xfId="0" applyNumberFormat="1" applyFont="1" applyFill="1" applyAlignment="1">
      <alignment horizontal="center"/>
    </xf>
    <xf numFmtId="0" fontId="3" fillId="0" borderId="8" xfId="0" applyFont="1" applyFill="1" applyBorder="1"/>
    <xf numFmtId="187" fontId="8" fillId="0" borderId="0" xfId="0" applyNumberFormat="1" applyFont="1" applyFill="1" applyAlignment="1">
      <alignment horizontal="left"/>
    </xf>
    <xf numFmtId="0" fontId="12" fillId="0" borderId="0" xfId="0" applyFont="1"/>
    <xf numFmtId="3" fontId="0" fillId="0" borderId="0" xfId="0" applyNumberForma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3" fontId="12" fillId="0" borderId="0" xfId="0" applyNumberFormat="1" applyFont="1" applyAlignment="1">
      <alignment horizontal="center"/>
    </xf>
    <xf numFmtId="0" fontId="37" fillId="0" borderId="0" xfId="0" applyFont="1"/>
    <xf numFmtId="0" fontId="36" fillId="0" borderId="12" xfId="0" applyFont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3" fontId="36" fillId="0" borderId="13" xfId="0" applyNumberFormat="1" applyFont="1" applyBorder="1" applyAlignment="1">
      <alignment horizontal="center"/>
    </xf>
    <xf numFmtId="0" fontId="12" fillId="0" borderId="18" xfId="0" applyFont="1" applyBorder="1"/>
    <xf numFmtId="3" fontId="12" fillId="0" borderId="16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2" fillId="0" borderId="24" xfId="0" applyFont="1" applyBorder="1"/>
    <xf numFmtId="3" fontId="12" fillId="0" borderId="3" xfId="0" applyNumberFormat="1" applyFont="1" applyBorder="1" applyAlignment="1">
      <alignment horizontal="center"/>
    </xf>
    <xf numFmtId="3" fontId="12" fillId="0" borderId="23" xfId="0" applyNumberFormat="1" applyFont="1" applyBorder="1" applyAlignment="1">
      <alignment horizontal="center"/>
    </xf>
    <xf numFmtId="3" fontId="12" fillId="0" borderId="0" xfId="0" applyNumberFormat="1" applyFont="1"/>
    <xf numFmtId="0" fontId="36" fillId="0" borderId="0" xfId="0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36" fillId="0" borderId="16" xfId="0" applyNumberFormat="1" applyFont="1" applyBorder="1" applyAlignment="1">
      <alignment horizontal="center"/>
    </xf>
    <xf numFmtId="3" fontId="36" fillId="0" borderId="3" xfId="0" applyNumberFormat="1" applyFont="1" applyBorder="1" applyAlignment="1">
      <alignment horizontal="center"/>
    </xf>
    <xf numFmtId="0" fontId="12" fillId="0" borderId="10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16" xfId="0" applyFont="1" applyBorder="1"/>
    <xf numFmtId="0" fontId="11" fillId="0" borderId="0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38" fillId="0" borderId="0" xfId="0" applyFont="1" applyBorder="1" applyAlignment="1">
      <alignment horizontal="center" vertical="top" wrapText="1"/>
    </xf>
    <xf numFmtId="3" fontId="12" fillId="0" borderId="0" xfId="0" applyNumberFormat="1" applyFont="1" applyBorder="1"/>
    <xf numFmtId="3" fontId="12" fillId="0" borderId="6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3" fontId="12" fillId="0" borderId="29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36" fillId="0" borderId="12" xfId="0" applyNumberFormat="1" applyFont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187" fontId="2" fillId="0" borderId="12" xfId="2" quotePrefix="1" applyNumberFormat="1" applyFont="1" applyFill="1" applyBorder="1" applyAlignment="1" applyProtection="1">
      <alignment horizontal="center"/>
      <protection locked="0"/>
    </xf>
    <xf numFmtId="187" fontId="3" fillId="0" borderId="0" xfId="0" quotePrefix="1" applyNumberFormat="1" applyFont="1" applyFill="1" applyAlignment="1">
      <alignment horizontal="center"/>
    </xf>
    <xf numFmtId="3" fontId="2" fillId="0" borderId="1" xfId="2" quotePrefix="1" applyNumberFormat="1" applyFont="1" applyFill="1" applyBorder="1" applyAlignment="1" applyProtection="1">
      <alignment horizontal="center"/>
      <protection locked="0"/>
    </xf>
    <xf numFmtId="3" fontId="2" fillId="9" borderId="12" xfId="2" quotePrefix="1" applyNumberFormat="1" applyFont="1" applyFill="1" applyBorder="1" applyAlignment="1" applyProtection="1">
      <alignment horizontal="center"/>
      <protection locked="0"/>
    </xf>
    <xf numFmtId="3" fontId="2" fillId="9" borderId="1" xfId="2" quotePrefix="1" applyNumberFormat="1" applyFont="1" applyFill="1" applyBorder="1" applyAlignment="1" applyProtection="1">
      <alignment horizontal="center"/>
      <protection locked="0"/>
    </xf>
    <xf numFmtId="3" fontId="13" fillId="0" borderId="1" xfId="2" quotePrefix="1" applyNumberFormat="1" applyFont="1" applyFill="1" applyBorder="1" applyAlignment="1" applyProtection="1">
      <alignment horizontal="center"/>
      <protection locked="0"/>
    </xf>
    <xf numFmtId="3" fontId="13" fillId="9" borderId="12" xfId="2" quotePrefix="1" applyNumberFormat="1" applyFont="1" applyFill="1" applyBorder="1" applyAlignment="1" applyProtection="1">
      <alignment horizontal="center"/>
      <protection locked="0"/>
    </xf>
    <xf numFmtId="3" fontId="13" fillId="9" borderId="1" xfId="2" quotePrefix="1" applyNumberFormat="1" applyFont="1" applyFill="1" applyBorder="1" applyAlignment="1" applyProtection="1">
      <alignment horizontal="center"/>
      <protection locked="0"/>
    </xf>
    <xf numFmtId="0" fontId="2" fillId="0" borderId="6" xfId="2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2" quotePrefix="1" applyNumberFormat="1" applyFont="1" applyFill="1" applyBorder="1" applyAlignment="1" applyProtection="1">
      <alignment horizontal="center" vertical="center" wrapText="1"/>
      <protection locked="0"/>
    </xf>
    <xf numFmtId="3" fontId="19" fillId="0" borderId="16" xfId="2" quotePrefix="1" applyNumberFormat="1" applyFont="1" applyFill="1" applyBorder="1" applyAlignment="1" applyProtection="1">
      <alignment horizontal="right" vertical="center"/>
      <protection locked="0"/>
    </xf>
    <xf numFmtId="187" fontId="2" fillId="0" borderId="10" xfId="2" quotePrefix="1" applyNumberFormat="1" applyFont="1" applyFill="1" applyBorder="1" applyAlignment="1" applyProtection="1">
      <alignment horizontal="center"/>
      <protection locked="0"/>
    </xf>
    <xf numFmtId="187" fontId="2" fillId="0" borderId="1" xfId="1" quotePrefix="1" applyNumberFormat="1" applyFont="1" applyFill="1" applyBorder="1" applyAlignment="1" applyProtection="1">
      <alignment horizontal="center"/>
      <protection locked="0"/>
    </xf>
    <xf numFmtId="187" fontId="2" fillId="0" borderId="1" xfId="2" quotePrefix="1" applyNumberFormat="1" applyFont="1" applyFill="1" applyBorder="1" applyAlignment="1" applyProtection="1">
      <alignment horizontal="center"/>
      <protection locked="0"/>
    </xf>
    <xf numFmtId="187" fontId="3" fillId="0" borderId="1" xfId="1" quotePrefix="1" applyNumberFormat="1" applyFont="1" applyFill="1" applyBorder="1" applyAlignment="1">
      <alignment horizontal="center"/>
    </xf>
    <xf numFmtId="3" fontId="3" fillId="0" borderId="10" xfId="2" quotePrefix="1" applyNumberFormat="1" applyFont="1" applyFill="1" applyBorder="1" applyAlignment="1">
      <alignment horizontal="left" indent="1"/>
    </xf>
    <xf numFmtId="3" fontId="8" fillId="0" borderId="1" xfId="2" quotePrefix="1" applyNumberFormat="1" applyFont="1" applyFill="1" applyBorder="1" applyAlignment="1">
      <alignment horizontal="left" indent="1"/>
    </xf>
    <xf numFmtId="187" fontId="10" fillId="0" borderId="1" xfId="1" quotePrefix="1" applyNumberFormat="1" applyFont="1" applyFill="1" applyBorder="1" applyAlignment="1">
      <alignment horizontal="center"/>
    </xf>
    <xf numFmtId="3" fontId="14" fillId="0" borderId="10" xfId="2" quotePrefix="1" applyNumberFormat="1" applyFont="1" applyFill="1" applyBorder="1" applyAlignment="1">
      <alignment horizontal="left" indent="1"/>
    </xf>
    <xf numFmtId="3" fontId="14" fillId="0" borderId="1" xfId="2" quotePrefix="1" applyNumberFormat="1" applyFont="1" applyFill="1" applyBorder="1" applyAlignment="1">
      <alignment horizontal="left" indent="1"/>
    </xf>
    <xf numFmtId="187" fontId="2" fillId="0" borderId="1" xfId="1" quotePrefix="1" applyNumberFormat="1" applyFont="1" applyFill="1" applyBorder="1" applyAlignment="1">
      <alignment horizontal="center"/>
    </xf>
    <xf numFmtId="187" fontId="2" fillId="0" borderId="11" xfId="2" quotePrefix="1" applyNumberFormat="1" applyFont="1" applyFill="1" applyBorder="1" applyAlignment="1" applyProtection="1">
      <alignment horizontal="center"/>
      <protection locked="0"/>
    </xf>
    <xf numFmtId="3" fontId="3" fillId="0" borderId="1" xfId="2" quotePrefix="1" applyNumberFormat="1" applyFont="1" applyFill="1" applyBorder="1" applyAlignment="1">
      <alignment horizontal="left" indent="1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1" xfId="0" applyFont="1" applyBorder="1" applyAlignment="1">
      <alignment horizontal="center"/>
    </xf>
    <xf numFmtId="3" fontId="36" fillId="0" borderId="12" xfId="0" applyNumberFormat="1" applyFont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3" fontId="36" fillId="0" borderId="13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87" fontId="2" fillId="0" borderId="0" xfId="0" applyNumberFormat="1" applyFont="1" applyFill="1" applyBorder="1" applyAlignment="1">
      <alignment horizontal="center"/>
    </xf>
    <xf numFmtId="3" fontId="2" fillId="0" borderId="12" xfId="2" applyNumberFormat="1" applyFont="1" applyFill="1" applyBorder="1" applyAlignment="1" applyProtection="1">
      <alignment horizontal="center" vertical="center"/>
      <protection locked="0"/>
    </xf>
    <xf numFmtId="3" fontId="2" fillId="0" borderId="13" xfId="2" applyNumberFormat="1" applyFont="1" applyFill="1" applyBorder="1" applyAlignment="1" applyProtection="1">
      <alignment horizontal="center" vertical="center"/>
      <protection locked="0"/>
    </xf>
    <xf numFmtId="3" fontId="2" fillId="0" borderId="22" xfId="2" applyNumberFormat="1" applyFont="1" applyFill="1" applyBorder="1" applyAlignment="1" applyProtection="1">
      <alignment horizontal="center" vertical="center"/>
      <protection locked="0"/>
    </xf>
    <xf numFmtId="187" fontId="2" fillId="0" borderId="1" xfId="2" applyNumberFormat="1" applyFont="1" applyFill="1" applyBorder="1" applyAlignment="1" applyProtection="1">
      <alignment horizontal="center" vertical="center"/>
      <protection locked="0"/>
    </xf>
    <xf numFmtId="187" fontId="7" fillId="0" borderId="12" xfId="1" applyNumberFormat="1" applyFont="1" applyFill="1" applyBorder="1" applyAlignment="1">
      <alignment horizontal="center"/>
    </xf>
    <xf numFmtId="187" fontId="7" fillId="0" borderId="13" xfId="1" applyNumberFormat="1" applyFont="1" applyFill="1" applyBorder="1" applyAlignment="1">
      <alignment horizontal="center"/>
    </xf>
    <xf numFmtId="187" fontId="7" fillId="0" borderId="22" xfId="1" applyNumberFormat="1" applyFont="1" applyFill="1" applyBorder="1" applyAlignment="1">
      <alignment horizontal="center"/>
    </xf>
    <xf numFmtId="187" fontId="2" fillId="0" borderId="1" xfId="0" applyNumberFormat="1" applyFont="1" applyFill="1" applyBorder="1" applyAlignment="1">
      <alignment horizontal="center"/>
    </xf>
    <xf numFmtId="3" fontId="2" fillId="0" borderId="10" xfId="2" applyNumberFormat="1" applyFont="1" applyFill="1" applyBorder="1" applyAlignment="1" applyProtection="1">
      <alignment horizontal="center" vertical="center"/>
      <protection locked="0"/>
    </xf>
    <xf numFmtId="3" fontId="2" fillId="0" borderId="11" xfId="2" applyNumberFormat="1" applyFont="1" applyFill="1" applyBorder="1" applyAlignment="1" applyProtection="1">
      <alignment horizontal="center" vertical="center"/>
      <protection locked="0"/>
    </xf>
    <xf numFmtId="187" fontId="2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>
      <alignment wrapText="1"/>
    </xf>
    <xf numFmtId="187" fontId="2" fillId="0" borderId="10" xfId="2" applyNumberFormat="1" applyFont="1" applyFill="1" applyBorder="1" applyAlignment="1" applyProtection="1">
      <alignment horizontal="center" vertical="center"/>
      <protection locked="0"/>
    </xf>
    <xf numFmtId="187" fontId="2" fillId="0" borderId="11" xfId="2" applyNumberFormat="1" applyFont="1" applyFill="1" applyBorder="1" applyAlignment="1" applyProtection="1">
      <alignment horizontal="center" vertical="center"/>
      <protection locked="0"/>
    </xf>
    <xf numFmtId="187" fontId="7" fillId="0" borderId="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87" fontId="2" fillId="0" borderId="12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3" fontId="2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wrapText="1"/>
    </xf>
    <xf numFmtId="0" fontId="28" fillId="0" borderId="1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87" fontId="32" fillId="0" borderId="0" xfId="0" applyNumberFormat="1" applyFont="1" applyFill="1" applyBorder="1" applyAlignment="1">
      <alignment horizontal="center"/>
    </xf>
    <xf numFmtId="187" fontId="32" fillId="0" borderId="1" xfId="2" applyNumberFormat="1" applyFont="1" applyFill="1" applyBorder="1" applyAlignment="1" applyProtection="1">
      <alignment horizontal="center" vertical="center"/>
      <protection locked="0"/>
    </xf>
    <xf numFmtId="187" fontId="32" fillId="0" borderId="12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3" fontId="13" fillId="0" borderId="10" xfId="2" applyNumberFormat="1" applyFont="1" applyFill="1" applyBorder="1" applyAlignment="1" applyProtection="1">
      <alignment horizontal="center" vertical="center"/>
      <protection locked="0"/>
    </xf>
    <xf numFmtId="3" fontId="13" fillId="0" borderId="11" xfId="2" applyNumberFormat="1" applyFont="1" applyFill="1" applyBorder="1" applyAlignment="1" applyProtection="1">
      <alignment horizontal="center" vertical="center"/>
      <protection locked="0"/>
    </xf>
    <xf numFmtId="0" fontId="15" fillId="0" borderId="16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3" fontId="13" fillId="0" borderId="16" xfId="2" applyNumberFormat="1" applyFont="1" applyFill="1" applyBorder="1" applyAlignment="1" applyProtection="1">
      <alignment horizontal="center" vertical="center"/>
      <protection locked="0"/>
    </xf>
    <xf numFmtId="187" fontId="32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wrapText="1"/>
    </xf>
    <xf numFmtId="187" fontId="32" fillId="0" borderId="10" xfId="2" applyNumberFormat="1" applyFont="1" applyFill="1" applyBorder="1" applyAlignment="1" applyProtection="1">
      <alignment horizontal="center" vertical="center"/>
      <protection locked="0"/>
    </xf>
    <xf numFmtId="187" fontId="32" fillId="0" borderId="11" xfId="2" applyNumberFormat="1" applyFont="1" applyFill="1" applyBorder="1" applyAlignment="1" applyProtection="1">
      <alignment horizontal="center" vertical="center"/>
      <protection locked="0"/>
    </xf>
    <xf numFmtId="187" fontId="7" fillId="5" borderId="0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87" fontId="7" fillId="5" borderId="1" xfId="2" applyNumberFormat="1" applyFont="1" applyFill="1" applyBorder="1" applyAlignment="1" applyProtection="1">
      <alignment horizontal="center" vertical="center"/>
      <protection locked="0"/>
    </xf>
    <xf numFmtId="187" fontId="7" fillId="5" borderId="10" xfId="2" applyNumberFormat="1" applyFont="1" applyFill="1" applyBorder="1" applyAlignment="1" applyProtection="1">
      <alignment horizontal="center" vertical="center"/>
      <protection locked="0"/>
    </xf>
    <xf numFmtId="187" fontId="7" fillId="5" borderId="11" xfId="2" applyNumberFormat="1" applyFont="1" applyFill="1" applyBorder="1" applyAlignment="1" applyProtection="1">
      <alignment horizontal="center" vertical="center"/>
      <protection locked="0"/>
    </xf>
    <xf numFmtId="187" fontId="7" fillId="5" borderId="6" xfId="1" applyNumberFormat="1" applyFont="1" applyFill="1" applyBorder="1" applyAlignment="1">
      <alignment horizontal="center"/>
    </xf>
    <xf numFmtId="187" fontId="7" fillId="5" borderId="7" xfId="1" applyNumberFormat="1" applyFont="1" applyFill="1" applyBorder="1" applyAlignment="1">
      <alignment horizontal="center"/>
    </xf>
    <xf numFmtId="187" fontId="7" fillId="5" borderId="14" xfId="1" applyNumberFormat="1" applyFont="1" applyFill="1" applyBorder="1" applyAlignment="1">
      <alignment horizontal="center"/>
    </xf>
    <xf numFmtId="187" fontId="2" fillId="0" borderId="13" xfId="0" applyNumberFormat="1" applyFont="1" applyFill="1" applyBorder="1" applyAlignment="1">
      <alignment horizontal="center"/>
    </xf>
    <xf numFmtId="187" fontId="2" fillId="0" borderId="22" xfId="0" applyNumberFormat="1" applyFont="1" applyFill="1" applyBorder="1" applyAlignment="1">
      <alignment horizontal="center"/>
    </xf>
    <xf numFmtId="187" fontId="2" fillId="2" borderId="12" xfId="1" applyNumberFormat="1" applyFont="1" applyFill="1" applyBorder="1" applyAlignment="1">
      <alignment horizontal="center"/>
    </xf>
    <xf numFmtId="187" fontId="2" fillId="2" borderId="13" xfId="1" applyNumberFormat="1" applyFont="1" applyFill="1" applyBorder="1" applyAlignment="1">
      <alignment horizontal="center"/>
    </xf>
    <xf numFmtId="187" fontId="2" fillId="2" borderId="22" xfId="1" applyNumberFormat="1" applyFont="1" applyFill="1" applyBorder="1" applyAlignment="1">
      <alignment horizontal="center"/>
    </xf>
    <xf numFmtId="187" fontId="8" fillId="2" borderId="12" xfId="1" applyNumberFormat="1" applyFont="1" applyFill="1" applyBorder="1" applyAlignment="1">
      <alignment horizontal="center"/>
    </xf>
    <xf numFmtId="187" fontId="8" fillId="2" borderId="13" xfId="1" applyNumberFormat="1" applyFont="1" applyFill="1" applyBorder="1" applyAlignment="1">
      <alignment horizontal="center"/>
    </xf>
    <xf numFmtId="187" fontId="8" fillId="2" borderId="22" xfId="1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187" fontId="2" fillId="3" borderId="1" xfId="0" applyNumberFormat="1" applyFont="1" applyFill="1" applyBorder="1" applyAlignment="1">
      <alignment horizontal="center"/>
    </xf>
    <xf numFmtId="187" fontId="7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1" xfId="0" applyFont="1" applyFill="1" applyBorder="1" applyAlignment="1">
      <alignment wrapText="1"/>
    </xf>
    <xf numFmtId="187" fontId="2" fillId="5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87" fontId="2" fillId="5" borderId="1" xfId="2" applyNumberFormat="1" applyFont="1" applyFill="1" applyBorder="1" applyAlignment="1" applyProtection="1">
      <alignment horizontal="center" vertical="center"/>
      <protection locked="0"/>
    </xf>
    <xf numFmtId="3" fontId="19" fillId="0" borderId="10" xfId="2" applyNumberFormat="1" applyFont="1" applyFill="1" applyBorder="1" applyAlignment="1" applyProtection="1">
      <alignment horizontal="center" vertical="center"/>
      <protection locked="0"/>
    </xf>
    <xf numFmtId="3" fontId="19" fillId="0" borderId="16" xfId="2" applyNumberFormat="1" applyFont="1" applyFill="1" applyBorder="1" applyAlignment="1" applyProtection="1">
      <alignment horizontal="center" vertical="center"/>
      <protection locked="0"/>
    </xf>
    <xf numFmtId="187" fontId="2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22" fillId="5" borderId="11" xfId="0" applyFont="1" applyFill="1" applyBorder="1" applyAlignment="1">
      <alignment wrapText="1"/>
    </xf>
    <xf numFmtId="187" fontId="2" fillId="5" borderId="10" xfId="2" applyNumberFormat="1" applyFont="1" applyFill="1" applyBorder="1" applyAlignment="1" applyProtection="1">
      <alignment horizontal="center" vertical="center"/>
      <protection locked="0"/>
    </xf>
    <xf numFmtId="187" fontId="2" fillId="5" borderId="11" xfId="2" applyNumberFormat="1" applyFont="1" applyFill="1" applyBorder="1" applyAlignment="1" applyProtection="1">
      <alignment horizontal="center" vertical="center"/>
      <protection locked="0"/>
    </xf>
    <xf numFmtId="187" fontId="2" fillId="5" borderId="6" xfId="1" applyNumberFormat="1" applyFont="1" applyFill="1" applyBorder="1" applyAlignment="1">
      <alignment horizontal="center"/>
    </xf>
    <xf numFmtId="187" fontId="2" fillId="5" borderId="7" xfId="1" applyNumberFormat="1" applyFont="1" applyFill="1" applyBorder="1" applyAlignment="1">
      <alignment horizontal="center"/>
    </xf>
    <xf numFmtId="187" fontId="2" fillId="5" borderId="14" xfId="1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wrapText="1"/>
    </xf>
    <xf numFmtId="187" fontId="7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>
      <alignment wrapText="1"/>
    </xf>
    <xf numFmtId="187" fontId="7" fillId="0" borderId="10" xfId="2" applyNumberFormat="1" applyFont="1" applyFill="1" applyBorder="1" applyAlignment="1" applyProtection="1">
      <alignment horizontal="center" vertical="center"/>
      <protection locked="0"/>
    </xf>
    <xf numFmtId="187" fontId="7" fillId="0" borderId="11" xfId="2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87" fontId="7" fillId="3" borderId="1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3" fontId="7" fillId="3" borderId="10" xfId="2" applyNumberFormat="1" applyFont="1" applyFill="1" applyBorder="1" applyAlignment="1" applyProtection="1">
      <alignment horizontal="center" vertical="center"/>
      <protection locked="0"/>
    </xf>
    <xf numFmtId="3" fontId="7" fillId="3" borderId="11" xfId="2" applyNumberFormat="1" applyFont="1" applyFill="1" applyBorder="1" applyAlignment="1" applyProtection="1">
      <alignment horizontal="center" vertical="center"/>
      <protection locked="0"/>
    </xf>
    <xf numFmtId="0" fontId="2" fillId="3" borderId="16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10" fillId="4" borderId="18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3" fontId="2" fillId="0" borderId="1" xfId="2" applyNumberFormat="1" applyFont="1" applyFill="1" applyBorder="1" applyAlignment="1" applyProtection="1">
      <alignment horizontal="center" vertical="center"/>
      <protection locked="0"/>
    </xf>
    <xf numFmtId="187" fontId="2" fillId="0" borderId="1" xfId="1" applyNumberFormat="1" applyFont="1" applyFill="1" applyBorder="1" applyAlignment="1">
      <alignment horizontal="left" vertical="center" wrapText="1"/>
    </xf>
    <xf numFmtId="187" fontId="2" fillId="0" borderId="1" xfId="1" applyNumberFormat="1" applyFont="1" applyFill="1" applyBorder="1" applyAlignment="1" applyProtection="1">
      <alignment horizontal="center" vertical="center"/>
      <protection locked="0"/>
    </xf>
    <xf numFmtId="187" fontId="7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87" fontId="4" fillId="0" borderId="6" xfId="0" applyNumberFormat="1" applyFont="1" applyFill="1" applyBorder="1" applyAlignment="1">
      <alignment horizontal="center"/>
    </xf>
    <xf numFmtId="187" fontId="4" fillId="0" borderId="7" xfId="0" applyNumberFormat="1" applyFont="1" applyFill="1" applyBorder="1" applyAlignment="1">
      <alignment horizontal="center"/>
    </xf>
    <xf numFmtId="187" fontId="4" fillId="0" borderId="14" xfId="0" applyNumberFormat="1" applyFont="1" applyFill="1" applyBorder="1" applyAlignment="1">
      <alignment horizontal="center"/>
    </xf>
    <xf numFmtId="187" fontId="4" fillId="0" borderId="8" xfId="0" applyNumberFormat="1" applyFont="1" applyFill="1" applyBorder="1" applyAlignment="1">
      <alignment horizontal="center"/>
    </xf>
    <xf numFmtId="187" fontId="4" fillId="0" borderId="9" xfId="0" applyNumberFormat="1" applyFont="1" applyFill="1" applyBorder="1" applyAlignment="1">
      <alignment horizontal="center"/>
    </xf>
    <xf numFmtId="187" fontId="4" fillId="0" borderId="15" xfId="0" applyNumberFormat="1" applyFont="1" applyFill="1" applyBorder="1" applyAlignment="1">
      <alignment horizontal="center"/>
    </xf>
    <xf numFmtId="187" fontId="5" fillId="0" borderId="12" xfId="0" applyNumberFormat="1" applyFont="1" applyFill="1" applyBorder="1" applyAlignment="1">
      <alignment horizontal="center"/>
    </xf>
    <xf numFmtId="187" fontId="5" fillId="0" borderId="13" xfId="0" applyNumberFormat="1" applyFont="1" applyFill="1" applyBorder="1" applyAlignment="1">
      <alignment horizontal="center"/>
    </xf>
    <xf numFmtId="187" fontId="5" fillId="0" borderId="22" xfId="0" applyNumberFormat="1" applyFont="1" applyFill="1" applyBorder="1" applyAlignment="1">
      <alignment horizontal="center"/>
    </xf>
    <xf numFmtId="187" fontId="7" fillId="0" borderId="9" xfId="0" applyNumberFormat="1" applyFont="1" applyFill="1" applyBorder="1" applyAlignment="1">
      <alignment horizontal="center"/>
    </xf>
    <xf numFmtId="187" fontId="2" fillId="0" borderId="12" xfId="2" applyNumberFormat="1" applyFont="1" applyFill="1" applyBorder="1" applyAlignment="1" applyProtection="1">
      <alignment horizontal="center" vertical="center"/>
      <protection locked="0"/>
    </xf>
    <xf numFmtId="187" fontId="2" fillId="0" borderId="13" xfId="2" applyNumberFormat="1" applyFont="1" applyFill="1" applyBorder="1" applyAlignment="1" applyProtection="1">
      <alignment horizontal="center" vertical="center"/>
      <protection locked="0"/>
    </xf>
    <xf numFmtId="187" fontId="2" fillId="0" borderId="22" xfId="2" applyNumberFormat="1" applyFont="1" applyFill="1" applyBorder="1" applyAlignment="1" applyProtection="1">
      <alignment horizontal="center" vertical="center"/>
      <protection locked="0"/>
    </xf>
    <xf numFmtId="187" fontId="2" fillId="0" borderId="9" xfId="0" applyNumberFormat="1" applyFont="1" applyFill="1" applyBorder="1" applyAlignment="1">
      <alignment horizontal="center"/>
    </xf>
    <xf numFmtId="187" fontId="7" fillId="0" borderId="12" xfId="2" applyNumberFormat="1" applyFont="1" applyFill="1" applyBorder="1" applyAlignment="1" applyProtection="1">
      <alignment horizontal="center" vertical="center"/>
      <protection locked="0"/>
    </xf>
    <xf numFmtId="187" fontId="7" fillId="0" borderId="13" xfId="2" applyNumberFormat="1" applyFont="1" applyFill="1" applyBorder="1" applyAlignment="1" applyProtection="1">
      <alignment horizontal="center" vertical="center"/>
      <protection locked="0"/>
    </xf>
    <xf numFmtId="187" fontId="7" fillId="0" borderId="22" xfId="2" applyNumberFormat="1" applyFont="1" applyFill="1" applyBorder="1" applyAlignment="1" applyProtection="1">
      <alignment horizontal="center" vertical="center"/>
      <protection locked="0"/>
    </xf>
    <xf numFmtId="187" fontId="7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87" fontId="2" fillId="0" borderId="10" xfId="1" applyNumberFormat="1" applyFont="1" applyFill="1" applyBorder="1" applyAlignment="1">
      <alignment horizontal="center" wrapText="1"/>
    </xf>
    <xf numFmtId="187" fontId="2" fillId="0" borderId="11" xfId="1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นักศึกษาปกติ50จากส่งเสริม20_06_5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4" sqref="C34"/>
    </sheetView>
  </sheetViews>
  <sheetFormatPr defaultColWidth="9" defaultRowHeight="12.75"/>
  <cols>
    <col min="1" max="1" width="12.42578125" customWidth="1"/>
    <col min="2" max="2" width="16.42578125" style="723" customWidth="1"/>
    <col min="3" max="3" width="16.140625" style="723" customWidth="1"/>
    <col min="4" max="4" width="10.85546875" style="723" customWidth="1"/>
    <col min="5" max="5" width="11.140625" customWidth="1"/>
    <col min="8" max="8" width="20.5703125" customWidth="1"/>
  </cols>
  <sheetData>
    <row r="1" spans="1:11" ht="15">
      <c r="A1" s="787" t="s">
        <v>0</v>
      </c>
      <c r="B1" s="787"/>
      <c r="C1" s="787"/>
      <c r="D1" s="787"/>
      <c r="E1" s="787"/>
      <c r="F1" s="787"/>
      <c r="G1" s="787"/>
      <c r="K1" s="750"/>
    </row>
    <row r="2" spans="1:11" ht="14.25">
      <c r="K2" s="733"/>
    </row>
    <row r="3" spans="1:11" s="722" customFormat="1" ht="15">
      <c r="A3" s="725" t="s">
        <v>1</v>
      </c>
      <c r="B3" s="726"/>
      <c r="C3" s="726"/>
      <c r="D3" s="726"/>
      <c r="H3" s="727" t="s">
        <v>2</v>
      </c>
      <c r="K3" s="733"/>
    </row>
    <row r="4" spans="1:11" s="722" customFormat="1" ht="14.25">
      <c r="B4" s="726"/>
      <c r="C4" s="726"/>
      <c r="D4" s="726"/>
      <c r="K4" s="752"/>
    </row>
    <row r="5" spans="1:11" s="722" customFormat="1" ht="15">
      <c r="B5" s="728" t="s">
        <v>3</v>
      </c>
      <c r="C5" s="729" t="s">
        <v>4</v>
      </c>
      <c r="D5" s="730" t="s">
        <v>5</v>
      </c>
      <c r="E5" s="729" t="s">
        <v>6</v>
      </c>
      <c r="K5" s="745"/>
    </row>
    <row r="6" spans="1:11" s="722" customFormat="1" ht="14.25">
      <c r="B6" s="731" t="s">
        <v>7</v>
      </c>
      <c r="C6" s="732" t="s">
        <v>8</v>
      </c>
      <c r="D6" s="733" t="s">
        <v>8</v>
      </c>
      <c r="E6" s="732" t="s">
        <v>8</v>
      </c>
      <c r="H6" s="722" t="s">
        <v>9</v>
      </c>
      <c r="I6" s="722">
        <f>6+32+42+47+42+28</f>
        <v>197</v>
      </c>
      <c r="K6" s="733"/>
    </row>
    <row r="7" spans="1:11" s="722" customFormat="1" ht="14.25">
      <c r="B7" s="734" t="s">
        <v>10</v>
      </c>
      <c r="C7" s="735">
        <f>ปกติ!G136-(C9+C10)</f>
        <v>9409</v>
      </c>
      <c r="D7" s="736">
        <f>กศ.ป.!I83-(D8+D9+D10)</f>
        <v>713</v>
      </c>
      <c r="E7" s="735">
        <f>SUM(C7:D7)</f>
        <v>10122</v>
      </c>
      <c r="H7" s="722" t="s">
        <v>11</v>
      </c>
      <c r="I7" s="722">
        <f>14+19+11+15+9+19</f>
        <v>87</v>
      </c>
      <c r="K7" s="733"/>
    </row>
    <row r="8" spans="1:11" s="722" customFormat="1" ht="14.25">
      <c r="B8" s="734" t="s">
        <v>12</v>
      </c>
      <c r="C8" s="735" t="s">
        <v>8</v>
      </c>
      <c r="D8" s="736">
        <f>กศ.ป.!I19</f>
        <v>0</v>
      </c>
      <c r="E8" s="735">
        <f>SUM(D8)</f>
        <v>0</v>
      </c>
      <c r="H8" s="722" t="s">
        <v>13</v>
      </c>
      <c r="I8" s="722">
        <f>2+18+12+69+36+45</f>
        <v>182</v>
      </c>
      <c r="K8" s="752"/>
    </row>
    <row r="9" spans="1:11" s="722" customFormat="1" ht="14.25">
      <c r="B9" s="734" t="s">
        <v>14</v>
      </c>
      <c r="C9" s="735">
        <f>ปกติ!G47+ปกติ!G78+ปกติ!G135</f>
        <v>18</v>
      </c>
      <c r="D9" s="736">
        <v>946</v>
      </c>
      <c r="E9" s="735">
        <f>SUM(C9:D9)</f>
        <v>964</v>
      </c>
      <c r="F9" s="737"/>
      <c r="H9" s="722" t="s">
        <v>15</v>
      </c>
      <c r="I9" s="722">
        <f>11+17+16</f>
        <v>44</v>
      </c>
      <c r="K9" s="745"/>
    </row>
    <row r="10" spans="1:11" s="722" customFormat="1" ht="14.25">
      <c r="B10" s="731" t="s">
        <v>16</v>
      </c>
      <c r="C10" s="732">
        <f>ปกติ!G29+ปกติ!G50</f>
        <v>37</v>
      </c>
      <c r="D10" s="733">
        <f>บัณฑิตศึกษา!I19+บัณฑิตศึกษา!I22+บัณฑิตศึกษา!I35</f>
        <v>193</v>
      </c>
      <c r="E10" s="732">
        <f>SUM(D10)</f>
        <v>193</v>
      </c>
      <c r="H10" s="722" t="s">
        <v>17</v>
      </c>
      <c r="I10" s="722">
        <f>13+3</f>
        <v>16</v>
      </c>
      <c r="K10" s="745"/>
    </row>
    <row r="11" spans="1:11" s="722" customFormat="1" ht="15">
      <c r="B11" s="728" t="s">
        <v>6</v>
      </c>
      <c r="C11" s="729">
        <f>SUM(C6:C10)</f>
        <v>9464</v>
      </c>
      <c r="D11" s="729">
        <f>SUM(D6:D10)</f>
        <v>1852</v>
      </c>
      <c r="E11" s="729">
        <f>SUM(E7:E10)</f>
        <v>11279</v>
      </c>
      <c r="F11" s="737"/>
      <c r="H11" s="722" t="s">
        <v>18</v>
      </c>
      <c r="I11" s="722">
        <v>52</v>
      </c>
      <c r="K11" s="745"/>
    </row>
    <row r="12" spans="1:11" s="722" customFormat="1" ht="15">
      <c r="A12" s="738"/>
      <c r="B12" s="739"/>
      <c r="C12" s="739"/>
      <c r="D12" s="739">
        <v>153</v>
      </c>
      <c r="H12" s="740" t="s">
        <v>6</v>
      </c>
      <c r="I12" s="722">
        <f>SUM(I6:I11)</f>
        <v>578</v>
      </c>
      <c r="K12" s="745"/>
    </row>
    <row r="13" spans="1:11" s="722" customFormat="1" ht="15">
      <c r="A13" s="725" t="s">
        <v>19</v>
      </c>
      <c r="B13" s="726"/>
      <c r="C13" s="726"/>
      <c r="D13" s="726"/>
      <c r="H13" s="722" t="s">
        <v>20</v>
      </c>
      <c r="I13" s="722">
        <f>16+20</f>
        <v>36</v>
      </c>
    </row>
    <row r="14" spans="1:11" s="722" customFormat="1" ht="14.25">
      <c r="B14" s="726"/>
      <c r="C14" s="726"/>
      <c r="D14" s="726"/>
    </row>
    <row r="15" spans="1:11" s="722" customFormat="1" ht="15">
      <c r="B15" s="728" t="s">
        <v>3</v>
      </c>
      <c r="C15" s="729" t="s">
        <v>4</v>
      </c>
      <c r="D15" s="730" t="s">
        <v>5</v>
      </c>
      <c r="E15" s="729" t="s">
        <v>6</v>
      </c>
      <c r="H15" s="724" t="s">
        <v>21</v>
      </c>
      <c r="I15" s="722">
        <f>I12+I13</f>
        <v>614</v>
      </c>
    </row>
    <row r="16" spans="1:11" s="722" customFormat="1" ht="15">
      <c r="B16" s="731" t="s">
        <v>7</v>
      </c>
      <c r="C16" s="732">
        <v>100</v>
      </c>
      <c r="D16" s="733">
        <v>6</v>
      </c>
      <c r="E16" s="741">
        <f>SUM(C16:D16)</f>
        <v>106</v>
      </c>
    </row>
    <row r="17" spans="2:14" s="722" customFormat="1" ht="15">
      <c r="B17" s="734" t="s">
        <v>10</v>
      </c>
      <c r="C17" s="735">
        <v>1111</v>
      </c>
      <c r="D17" s="736">
        <f>307-6</f>
        <v>301</v>
      </c>
      <c r="E17" s="742">
        <f>SUM(C17:D17)</f>
        <v>1412</v>
      </c>
    </row>
    <row r="18" spans="2:14" s="722" customFormat="1" ht="15">
      <c r="B18" s="734" t="s">
        <v>12</v>
      </c>
      <c r="C18" s="735" t="s">
        <v>8</v>
      </c>
      <c r="D18" s="736">
        <v>6</v>
      </c>
      <c r="E18" s="742">
        <f>SUM(D18)</f>
        <v>6</v>
      </c>
      <c r="H18" s="785" t="s">
        <v>22</v>
      </c>
      <c r="I18" s="788" t="s">
        <v>4</v>
      </c>
      <c r="J18" s="788"/>
      <c r="K18" s="788" t="s">
        <v>5</v>
      </c>
      <c r="L18" s="788"/>
      <c r="M18" s="788"/>
      <c r="N18" s="785" t="s">
        <v>6</v>
      </c>
    </row>
    <row r="19" spans="2:14" s="722" customFormat="1" ht="15">
      <c r="B19" s="734" t="s">
        <v>14</v>
      </c>
      <c r="C19" s="735" t="s">
        <v>8</v>
      </c>
      <c r="D19" s="736">
        <v>116</v>
      </c>
      <c r="E19" s="742">
        <f>SUM(D19)</f>
        <v>116</v>
      </c>
      <c r="H19" s="786"/>
      <c r="I19" s="748" t="s">
        <v>23</v>
      </c>
      <c r="J19" s="748" t="s">
        <v>24</v>
      </c>
      <c r="K19" s="748" t="s">
        <v>23</v>
      </c>
      <c r="L19" s="748" t="s">
        <v>24</v>
      </c>
      <c r="M19" s="748" t="s">
        <v>25</v>
      </c>
      <c r="N19" s="786"/>
    </row>
    <row r="20" spans="2:14" s="722" customFormat="1" ht="15">
      <c r="B20" s="734" t="s">
        <v>16</v>
      </c>
      <c r="C20" s="735" t="s">
        <v>8</v>
      </c>
      <c r="D20" s="736" t="s">
        <v>8</v>
      </c>
      <c r="E20" s="742" t="s">
        <v>8</v>
      </c>
      <c r="H20" s="743" t="s">
        <v>26</v>
      </c>
      <c r="I20" s="753" t="s">
        <v>8</v>
      </c>
      <c r="J20" s="754">
        <f>5+5+2+1</f>
        <v>13</v>
      </c>
      <c r="K20" s="753" t="s">
        <v>8</v>
      </c>
      <c r="L20" s="754">
        <f>(5+49+3+9+2+5+1)-6</f>
        <v>68</v>
      </c>
      <c r="M20" s="755">
        <f>31+25+52</f>
        <v>108</v>
      </c>
      <c r="N20" s="754"/>
    </row>
    <row r="21" spans="2:14" s="722" customFormat="1" ht="14.25">
      <c r="B21" s="731"/>
      <c r="C21" s="732"/>
      <c r="D21" s="733"/>
      <c r="E21" s="732"/>
      <c r="H21" s="744" t="s">
        <v>12</v>
      </c>
      <c r="I21" s="756" t="s">
        <v>8</v>
      </c>
      <c r="J21" s="735" t="s">
        <v>8</v>
      </c>
      <c r="K21" s="756" t="s">
        <v>8</v>
      </c>
      <c r="L21" s="735">
        <f>2+1+2+1</f>
        <v>6</v>
      </c>
      <c r="M21" s="757" t="s">
        <v>8</v>
      </c>
      <c r="N21" s="735"/>
    </row>
    <row r="22" spans="2:14" s="722" customFormat="1" ht="15">
      <c r="B22" s="728" t="s">
        <v>6</v>
      </c>
      <c r="C22" s="729">
        <f>SUM(C16:C20)</f>
        <v>1211</v>
      </c>
      <c r="D22" s="729">
        <f>SUM(D16:D20)</f>
        <v>429</v>
      </c>
      <c r="E22" s="729">
        <f>SUM(C22:D22)</f>
        <v>1640</v>
      </c>
      <c r="H22" s="744" t="s">
        <v>17</v>
      </c>
      <c r="I22" s="756">
        <f>2+88+6+4</f>
        <v>100</v>
      </c>
      <c r="J22" s="735">
        <f>50+7+2+7+70+11+18+6+4+2+2+73+86+14</f>
        <v>352</v>
      </c>
      <c r="K22" s="756">
        <f>2+1</f>
        <v>3</v>
      </c>
      <c r="L22" s="735">
        <f>1+1+2+1+6+8+2+3</f>
        <v>24</v>
      </c>
      <c r="M22" s="757" t="s">
        <v>8</v>
      </c>
      <c r="N22" s="735"/>
    </row>
    <row r="23" spans="2:14" s="722" customFormat="1" ht="14.25">
      <c r="B23" s="726"/>
      <c r="C23" s="726"/>
      <c r="D23" s="726"/>
      <c r="H23" s="744" t="s">
        <v>27</v>
      </c>
      <c r="I23" s="756" t="s">
        <v>8</v>
      </c>
      <c r="J23" s="735">
        <f>5+2+1+66+169+10+1</f>
        <v>254</v>
      </c>
      <c r="K23" s="756">
        <f>2+1</f>
        <v>3</v>
      </c>
      <c r="L23" s="735">
        <f>6+1+1+12+5+10</f>
        <v>35</v>
      </c>
      <c r="M23" s="757">
        <f>1+3+4</f>
        <v>8</v>
      </c>
      <c r="N23" s="735"/>
    </row>
    <row r="24" spans="2:14" s="722" customFormat="1" ht="14.25">
      <c r="B24" s="733"/>
      <c r="C24" s="733"/>
      <c r="D24" s="733"/>
      <c r="E24" s="745"/>
      <c r="F24" s="745"/>
      <c r="H24" s="746" t="s">
        <v>28</v>
      </c>
      <c r="I24" s="758" t="s">
        <v>8</v>
      </c>
      <c r="J24" s="732">
        <f>21+16+1+222+22+5+205</f>
        <v>492</v>
      </c>
      <c r="K24" s="758"/>
      <c r="L24" s="732">
        <f>109+19+13+5+24+4</f>
        <v>174</v>
      </c>
      <c r="M24" s="759" t="s">
        <v>8</v>
      </c>
      <c r="N24" s="732"/>
    </row>
    <row r="25" spans="2:14" s="722" customFormat="1" ht="15.75">
      <c r="B25" s="733"/>
      <c r="C25" s="747"/>
      <c r="D25" s="733"/>
      <c r="E25" s="745"/>
      <c r="F25" s="745"/>
      <c r="H25" s="748" t="s">
        <v>6</v>
      </c>
      <c r="I25" s="760">
        <f>SUM(I20:I24)</f>
        <v>100</v>
      </c>
      <c r="J25" s="729">
        <f>SUM(J20:J24)</f>
        <v>1111</v>
      </c>
      <c r="K25" s="760">
        <f>SUM(K20:K24)</f>
        <v>6</v>
      </c>
      <c r="L25" s="729">
        <f>SUM(L20:L24)</f>
        <v>307</v>
      </c>
      <c r="M25" s="761">
        <f>SUM(M20:M24)</f>
        <v>116</v>
      </c>
      <c r="N25" s="729"/>
    </row>
    <row r="26" spans="2:14" s="722" customFormat="1" ht="15.75">
      <c r="B26" s="733"/>
      <c r="C26" s="747"/>
      <c r="D26" s="733"/>
      <c r="E26" s="745"/>
      <c r="F26" s="745"/>
      <c r="I26" s="789">
        <f>I25+J25</f>
        <v>1211</v>
      </c>
      <c r="J26" s="790"/>
      <c r="K26" s="789">
        <f>K25+L25+M25</f>
        <v>429</v>
      </c>
      <c r="L26" s="791"/>
      <c r="M26" s="790"/>
      <c r="N26" s="737">
        <f>SUM(I26:M26)</f>
        <v>1640</v>
      </c>
    </row>
    <row r="27" spans="2:14" s="722" customFormat="1" ht="15.75">
      <c r="B27" s="733"/>
      <c r="C27" s="747"/>
      <c r="D27" s="733"/>
      <c r="E27" s="745"/>
      <c r="F27" s="745"/>
    </row>
    <row r="28" spans="2:14" s="722" customFormat="1" ht="15.75">
      <c r="B28" s="733"/>
      <c r="C28" s="747"/>
      <c r="D28" s="733"/>
      <c r="E28" s="745"/>
      <c r="F28" s="745"/>
    </row>
    <row r="29" spans="2:14" s="722" customFormat="1" ht="15.75">
      <c r="B29" s="733"/>
      <c r="C29" s="747"/>
      <c r="D29" s="733"/>
      <c r="E29" s="745"/>
      <c r="F29" s="745"/>
    </row>
    <row r="30" spans="2:14" s="722" customFormat="1" ht="15.75">
      <c r="B30" s="733"/>
      <c r="C30" s="747"/>
      <c r="D30" s="733"/>
      <c r="E30" s="745"/>
      <c r="F30" s="745"/>
    </row>
    <row r="31" spans="2:14" s="722" customFormat="1" ht="15.75">
      <c r="B31" s="733"/>
      <c r="C31" s="747"/>
      <c r="D31" s="733"/>
      <c r="E31" s="745"/>
      <c r="F31" s="745"/>
    </row>
    <row r="32" spans="2:14" ht="15.75">
      <c r="B32" s="749"/>
      <c r="C32" s="747"/>
      <c r="D32" s="749"/>
      <c r="E32" s="750"/>
      <c r="F32" s="750"/>
    </row>
    <row r="33" spans="2:8" ht="15.75">
      <c r="B33" s="749"/>
      <c r="C33" s="747"/>
      <c r="D33" s="749"/>
      <c r="E33" s="750"/>
      <c r="F33" s="750"/>
    </row>
    <row r="34" spans="2:8">
      <c r="B34" s="749"/>
      <c r="C34" s="749"/>
      <c r="D34" s="749"/>
      <c r="E34" s="750"/>
      <c r="F34" s="750"/>
    </row>
    <row r="35" spans="2:8" ht="15.75">
      <c r="B35" s="751"/>
      <c r="C35" s="751"/>
      <c r="D35" s="749"/>
      <c r="E35" s="750"/>
      <c r="F35" s="750"/>
      <c r="H35" s="104">
        <f>SUM(D35:G35)</f>
        <v>0</v>
      </c>
    </row>
    <row r="36" spans="2:8">
      <c r="B36" s="749"/>
      <c r="C36" s="749"/>
      <c r="D36" s="749"/>
      <c r="E36" s="750"/>
      <c r="F36" s="750"/>
    </row>
    <row r="37" spans="2:8">
      <c r="B37" s="749"/>
      <c r="C37" s="749"/>
      <c r="D37" s="749"/>
      <c r="E37" s="750"/>
      <c r="F37" s="750"/>
    </row>
    <row r="38" spans="2:8">
      <c r="B38" s="749"/>
      <c r="C38" s="749"/>
      <c r="D38" s="749"/>
      <c r="E38" s="750"/>
      <c r="F38" s="750"/>
    </row>
    <row r="39" spans="2:8">
      <c r="B39" s="749"/>
      <c r="C39" s="749"/>
      <c r="D39" s="749"/>
      <c r="E39" s="750"/>
      <c r="F39" s="750"/>
    </row>
    <row r="40" spans="2:8">
      <c r="B40" s="749"/>
      <c r="C40" s="749"/>
      <c r="D40" s="749"/>
      <c r="E40" s="750"/>
      <c r="F40" s="750"/>
    </row>
  </sheetData>
  <mergeCells count="7">
    <mergeCell ref="N18:N19"/>
    <mergeCell ref="A1:G1"/>
    <mergeCell ref="I18:J18"/>
    <mergeCell ref="K18:M18"/>
    <mergeCell ref="I26:J26"/>
    <mergeCell ref="K26:M26"/>
    <mergeCell ref="H18:H19"/>
  </mergeCells>
  <printOptions horizontalCentered="1"/>
  <pageMargins left="0.6" right="0.63" top="0.98425196850393704" bottom="0.98425196850393704" header="0.511811023622047" footer="0.511811023622047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130" zoomScaleNormal="100" workbookViewId="0">
      <pane ySplit="4" topLeftCell="A38" activePane="bottomLeft" state="frozen"/>
      <selection pane="bottomLeft" activeCell="I41" sqref="I41"/>
    </sheetView>
  </sheetViews>
  <sheetFormatPr defaultColWidth="9.140625" defaultRowHeight="21"/>
  <cols>
    <col min="1" max="1" width="39.28515625" style="47" customWidth="1"/>
    <col min="2" max="4" width="8.85546875" style="47" customWidth="1"/>
    <col min="5" max="5" width="8" style="47" customWidth="1"/>
    <col min="6" max="7" width="7.42578125" style="48" customWidth="1"/>
    <col min="8" max="8" width="7.42578125" style="48" hidden="1" customWidth="1"/>
    <col min="9" max="9" width="9.42578125" style="48" customWidth="1"/>
    <col min="10" max="10" width="8.42578125" style="48" customWidth="1"/>
    <col min="11" max="11" width="21.140625" style="48" customWidth="1"/>
    <col min="12" max="12" width="11" style="48" customWidth="1"/>
    <col min="13" max="15" width="8.42578125" style="48" customWidth="1"/>
    <col min="16" max="16384" width="9.140625" style="47"/>
  </cols>
  <sheetData>
    <row r="1" spans="1:15">
      <c r="A1" s="894" t="s">
        <v>334</v>
      </c>
      <c r="B1" s="895"/>
      <c r="C1" s="895"/>
      <c r="D1" s="895"/>
      <c r="E1" s="895"/>
      <c r="F1" s="895"/>
      <c r="G1" s="895"/>
      <c r="H1" s="895"/>
      <c r="I1" s="896"/>
      <c r="J1" s="86"/>
      <c r="K1" s="86"/>
      <c r="L1" s="86"/>
      <c r="M1" s="86"/>
      <c r="N1" s="86"/>
      <c r="O1" s="86"/>
    </row>
    <row r="2" spans="1:15">
      <c r="C2" s="47">
        <v>1</v>
      </c>
      <c r="D2" s="47">
        <v>2</v>
      </c>
      <c r="E2" s="47">
        <v>3</v>
      </c>
      <c r="F2" s="48">
        <v>4</v>
      </c>
      <c r="G2" s="48">
        <v>5</v>
      </c>
      <c r="H2" s="48">
        <v>6</v>
      </c>
    </row>
    <row r="3" spans="1:15">
      <c r="A3" s="803" t="s">
        <v>31</v>
      </c>
      <c r="B3" s="776" t="s">
        <v>240</v>
      </c>
      <c r="C3" s="776" t="s">
        <v>241</v>
      </c>
      <c r="D3" s="776" t="s">
        <v>33</v>
      </c>
      <c r="E3" s="776" t="s">
        <v>34</v>
      </c>
      <c r="F3" s="776" t="s">
        <v>35</v>
      </c>
      <c r="G3" s="776" t="s">
        <v>36</v>
      </c>
      <c r="H3" s="776" t="s">
        <v>37</v>
      </c>
      <c r="I3" s="127" t="s">
        <v>6</v>
      </c>
      <c r="J3" s="88"/>
      <c r="K3" s="88"/>
      <c r="L3" s="88"/>
      <c r="M3" s="88"/>
      <c r="N3" s="88"/>
      <c r="O3" s="88"/>
    </row>
    <row r="4" spans="1:15">
      <c r="A4" s="804"/>
      <c r="B4" s="50"/>
      <c r="C4" s="50"/>
      <c r="D4" s="50"/>
      <c r="E4" s="50"/>
      <c r="F4" s="53"/>
      <c r="G4" s="53"/>
      <c r="H4" s="53"/>
      <c r="I4" s="53"/>
      <c r="J4" s="87"/>
      <c r="K4" s="240"/>
      <c r="L4" s="240"/>
      <c r="M4" s="87"/>
      <c r="N4" s="87"/>
      <c r="O4" s="87"/>
    </row>
    <row r="5" spans="1:15">
      <c r="A5" s="215" t="s">
        <v>40</v>
      </c>
      <c r="B5" s="216"/>
      <c r="C5" s="216"/>
      <c r="D5" s="216"/>
      <c r="E5" s="216"/>
      <c r="F5" s="87"/>
      <c r="G5" s="87"/>
      <c r="H5" s="87"/>
      <c r="I5" s="92"/>
      <c r="J5" s="87"/>
      <c r="K5" s="87"/>
      <c r="L5" s="87"/>
      <c r="M5" s="87"/>
      <c r="N5" s="87"/>
      <c r="O5" s="87"/>
    </row>
    <row r="6" spans="1:15">
      <c r="A6" s="217" t="s">
        <v>25</v>
      </c>
      <c r="B6" s="218"/>
      <c r="C6" s="218"/>
      <c r="D6" s="218"/>
      <c r="E6" s="218"/>
      <c r="F6" s="96"/>
      <c r="G6" s="96"/>
      <c r="H6" s="96"/>
      <c r="I6" s="98"/>
      <c r="J6" s="87"/>
      <c r="K6" s="87"/>
      <c r="L6" s="123" t="s">
        <v>12</v>
      </c>
      <c r="M6" s="123" t="s">
        <v>168</v>
      </c>
      <c r="N6" s="123" t="s">
        <v>169</v>
      </c>
      <c r="O6" s="88"/>
    </row>
    <row r="7" spans="1:15" s="46" customFormat="1">
      <c r="A7" s="219" t="s">
        <v>65</v>
      </c>
      <c r="B7" s="220">
        <f>35+30</f>
        <v>65</v>
      </c>
      <c r="C7" s="220">
        <f>19+46</f>
        <v>65</v>
      </c>
      <c r="D7" s="220">
        <v>19</v>
      </c>
      <c r="E7" s="220">
        <v>5</v>
      </c>
      <c r="F7" s="221">
        <f>4+4+5</f>
        <v>13</v>
      </c>
      <c r="G7" s="221"/>
      <c r="H7" s="221"/>
      <c r="I7" s="221">
        <f>SUM(B7:H7)</f>
        <v>167</v>
      </c>
      <c r="J7" s="229"/>
      <c r="K7" s="241" t="s">
        <v>335</v>
      </c>
      <c r="L7" s="241">
        <f>I40</f>
        <v>220</v>
      </c>
      <c r="M7" s="241">
        <f>I13</f>
        <v>449</v>
      </c>
      <c r="N7" s="241">
        <f>I19</f>
        <v>152</v>
      </c>
      <c r="O7" s="241">
        <f>SUM(L7:N7)</f>
        <v>821</v>
      </c>
    </row>
    <row r="8" spans="1:15" s="46" customFormat="1">
      <c r="A8" s="222" t="s">
        <v>336</v>
      </c>
      <c r="B8" s="56">
        <v>46</v>
      </c>
      <c r="C8" s="56"/>
      <c r="D8" s="56"/>
      <c r="E8" s="56"/>
      <c r="F8" s="57"/>
      <c r="G8" s="57"/>
      <c r="H8" s="57"/>
      <c r="I8" s="57">
        <f t="shared" ref="I8:I13" si="0">SUM(B8:H8)</f>
        <v>46</v>
      </c>
      <c r="J8" s="229"/>
      <c r="K8" s="241" t="s">
        <v>337</v>
      </c>
      <c r="L8" s="241"/>
      <c r="M8" s="241">
        <f>I27</f>
        <v>0</v>
      </c>
      <c r="N8" s="241"/>
      <c r="O8" s="241">
        <f>SUM(M8:N8)</f>
        <v>0</v>
      </c>
    </row>
    <row r="9" spans="1:15" s="46" customFormat="1">
      <c r="A9" s="222" t="s">
        <v>338</v>
      </c>
      <c r="B9" s="56"/>
      <c r="C9" s="56">
        <v>24</v>
      </c>
      <c r="D9" s="56"/>
      <c r="E9" s="56"/>
      <c r="F9" s="57">
        <f>24+4+17</f>
        <v>45</v>
      </c>
      <c r="G9" s="57"/>
      <c r="H9" s="57"/>
      <c r="I9" s="57">
        <f t="shared" si="0"/>
        <v>69</v>
      </c>
      <c r="J9" s="229"/>
      <c r="K9" s="241" t="s">
        <v>337</v>
      </c>
      <c r="L9" s="241"/>
      <c r="M9" s="241">
        <f>I28</f>
        <v>14</v>
      </c>
      <c r="N9" s="241"/>
      <c r="O9" s="241">
        <f>SUM(M9:N9)</f>
        <v>14</v>
      </c>
    </row>
    <row r="10" spans="1:15" s="46" customFormat="1">
      <c r="A10" s="222" t="s">
        <v>339</v>
      </c>
      <c r="B10" s="56">
        <v>17</v>
      </c>
      <c r="C10" s="56"/>
      <c r="D10" s="56">
        <v>11</v>
      </c>
      <c r="E10" s="56">
        <v>26</v>
      </c>
      <c r="F10" s="57">
        <v>4</v>
      </c>
      <c r="G10" s="57"/>
      <c r="H10" s="57"/>
      <c r="I10" s="57">
        <f t="shared" si="0"/>
        <v>58</v>
      </c>
      <c r="J10" s="87"/>
      <c r="K10" s="241" t="s">
        <v>28</v>
      </c>
      <c r="L10" s="241"/>
      <c r="M10" s="241">
        <f>I34</f>
        <v>86</v>
      </c>
      <c r="N10" s="241">
        <f>I35</f>
        <v>40</v>
      </c>
      <c r="O10" s="241">
        <f>SUM(M10:N10)</f>
        <v>126</v>
      </c>
    </row>
    <row r="11" spans="1:15" s="46" customFormat="1">
      <c r="A11" s="222" t="s">
        <v>340</v>
      </c>
      <c r="B11" s="56"/>
      <c r="C11" s="56">
        <f>11+15</f>
        <v>26</v>
      </c>
      <c r="D11" s="56">
        <v>36</v>
      </c>
      <c r="E11" s="56">
        <v>9</v>
      </c>
      <c r="F11" s="57"/>
      <c r="G11" s="57"/>
      <c r="H11" s="57"/>
      <c r="I11" s="57">
        <f t="shared" si="0"/>
        <v>71</v>
      </c>
      <c r="J11" s="87"/>
      <c r="K11" s="51" t="s">
        <v>341</v>
      </c>
      <c r="L11" s="51">
        <f>SUM(L7:L10)</f>
        <v>220</v>
      </c>
      <c r="M11" s="51">
        <f>SUM(M7:M10)</f>
        <v>549</v>
      </c>
      <c r="N11" s="51">
        <f>SUM(N7:N10)</f>
        <v>192</v>
      </c>
      <c r="O11" s="51">
        <f>SUM(O7:O10)</f>
        <v>961</v>
      </c>
    </row>
    <row r="12" spans="1:15" s="46" customFormat="1">
      <c r="A12" s="223" t="s">
        <v>342</v>
      </c>
      <c r="B12" s="67"/>
      <c r="C12" s="67">
        <f>1+3</f>
        <v>4</v>
      </c>
      <c r="D12" s="67">
        <v>10</v>
      </c>
      <c r="E12" s="67">
        <v>24</v>
      </c>
      <c r="F12" s="74"/>
      <c r="G12" s="74"/>
      <c r="H12" s="74"/>
      <c r="I12" s="64">
        <f t="shared" si="0"/>
        <v>38</v>
      </c>
      <c r="J12" s="87">
        <f>I11+I8</f>
        <v>117</v>
      </c>
      <c r="K12" s="87"/>
      <c r="L12" s="87"/>
      <c r="M12" s="87"/>
      <c r="N12" s="87"/>
      <c r="O12" s="87"/>
    </row>
    <row r="13" spans="1:15">
      <c r="A13" s="60" t="s">
        <v>6</v>
      </c>
      <c r="B13" s="51">
        <f>SUM(B7:B12)</f>
        <v>128</v>
      </c>
      <c r="C13" s="51">
        <f>SUM(C7:C12)</f>
        <v>119</v>
      </c>
      <c r="D13" s="51">
        <f>SUM(D7:D12)</f>
        <v>76</v>
      </c>
      <c r="E13" s="51">
        <f t="shared" ref="E13:H13" si="1">SUM(E7:E12)</f>
        <v>64</v>
      </c>
      <c r="F13" s="51">
        <f t="shared" si="1"/>
        <v>62</v>
      </c>
      <c r="G13" s="51">
        <f t="shared" si="1"/>
        <v>0</v>
      </c>
      <c r="H13" s="51">
        <f t="shared" si="1"/>
        <v>0</v>
      </c>
      <c r="I13" s="51">
        <f t="shared" si="0"/>
        <v>449</v>
      </c>
      <c r="J13" s="87">
        <f>I7+I9+I10+I11</f>
        <v>365</v>
      </c>
      <c r="K13" s="241" t="s">
        <v>17</v>
      </c>
      <c r="L13" s="241"/>
      <c r="M13" s="241">
        <f>I21+I23</f>
        <v>78</v>
      </c>
      <c r="N13" s="241">
        <f>I22</f>
        <v>1</v>
      </c>
      <c r="O13" s="241">
        <f>SUM(M13:N13)</f>
        <v>79</v>
      </c>
    </row>
    <row r="14" spans="1:15">
      <c r="A14" s="52" t="s">
        <v>44</v>
      </c>
      <c r="B14" s="52"/>
      <c r="C14" s="51"/>
      <c r="D14" s="51"/>
      <c r="E14" s="51"/>
      <c r="F14" s="51"/>
      <c r="G14" s="51"/>
      <c r="H14" s="51"/>
      <c r="I14" s="51"/>
      <c r="J14" s="87"/>
      <c r="K14" s="53" t="s">
        <v>343</v>
      </c>
      <c r="L14" s="53"/>
      <c r="M14" s="53"/>
      <c r="N14" s="53"/>
      <c r="O14" s="53">
        <f>SUM(M14:N14)</f>
        <v>0</v>
      </c>
    </row>
    <row r="15" spans="1:15" s="46" customFormat="1">
      <c r="A15" s="224" t="s">
        <v>66</v>
      </c>
      <c r="B15" s="63"/>
      <c r="C15" s="63"/>
      <c r="D15" s="63"/>
      <c r="E15" s="63"/>
      <c r="F15" s="64">
        <f>4+3</f>
        <v>7</v>
      </c>
      <c r="G15" s="64">
        <v>5</v>
      </c>
      <c r="H15" s="64"/>
      <c r="I15" s="64">
        <f>SUM(B15:H15)</f>
        <v>12</v>
      </c>
      <c r="J15" s="64"/>
      <c r="K15" s="241" t="s">
        <v>344</v>
      </c>
      <c r="L15" s="241"/>
      <c r="M15" s="241">
        <f>I30</f>
        <v>0</v>
      </c>
      <c r="N15" s="241"/>
      <c r="O15" s="241">
        <f>SUM(M15:N15)</f>
        <v>0</v>
      </c>
    </row>
    <row r="16" spans="1:15" s="46" customFormat="1">
      <c r="A16" s="222" t="s">
        <v>67</v>
      </c>
      <c r="B16" s="56">
        <v>12</v>
      </c>
      <c r="C16" s="56">
        <f>17+1</f>
        <v>18</v>
      </c>
      <c r="D16" s="56">
        <f>14+2</f>
        <v>16</v>
      </c>
      <c r="E16" s="56">
        <v>13</v>
      </c>
      <c r="F16" s="57"/>
      <c r="G16" s="57"/>
      <c r="H16" s="57"/>
      <c r="I16" s="57">
        <f>SUM(B16:H16)</f>
        <v>59</v>
      </c>
      <c r="J16" s="64"/>
      <c r="K16" s="242" t="s">
        <v>345</v>
      </c>
      <c r="L16" s="243">
        <f>SUM(L13:L15)</f>
        <v>0</v>
      </c>
      <c r="M16" s="243">
        <f>SUM(M13:M15)</f>
        <v>78</v>
      </c>
      <c r="N16" s="243">
        <f>SUM(N13:N15)</f>
        <v>1</v>
      </c>
      <c r="O16" s="243">
        <f>SUM(O13:O15)</f>
        <v>79</v>
      </c>
    </row>
    <row r="17" spans="1:15" s="46" customFormat="1">
      <c r="A17" s="222" t="s">
        <v>68</v>
      </c>
      <c r="B17" s="56">
        <v>7</v>
      </c>
      <c r="C17" s="56">
        <v>11</v>
      </c>
      <c r="D17" s="56"/>
      <c r="E17" s="56"/>
      <c r="F17" s="57">
        <v>12</v>
      </c>
      <c r="G17" s="57"/>
      <c r="H17" s="57"/>
      <c r="I17" s="57">
        <f>SUM(B17:H17)</f>
        <v>30</v>
      </c>
      <c r="J17" s="64"/>
    </row>
    <row r="18" spans="1:15" s="46" customFormat="1">
      <c r="A18" s="222" t="s">
        <v>69</v>
      </c>
      <c r="B18" s="56">
        <v>7</v>
      </c>
      <c r="C18" s="56">
        <f>6+4</f>
        <v>10</v>
      </c>
      <c r="D18" s="56">
        <v>19</v>
      </c>
      <c r="E18" s="56">
        <v>9</v>
      </c>
      <c r="F18" s="57">
        <v>5</v>
      </c>
      <c r="G18" s="57">
        <v>1</v>
      </c>
      <c r="H18" s="57"/>
      <c r="I18" s="64">
        <f>SUM(B18:H18)</f>
        <v>51</v>
      </c>
      <c r="J18" s="87"/>
      <c r="K18" s="244" t="s">
        <v>21</v>
      </c>
      <c r="L18" s="244">
        <f>L11+L16</f>
        <v>220</v>
      </c>
      <c r="M18" s="244">
        <f>M11+M16</f>
        <v>627</v>
      </c>
      <c r="N18" s="244">
        <f>N11+N16</f>
        <v>193</v>
      </c>
      <c r="O18" s="244">
        <f>O11+O16</f>
        <v>1040</v>
      </c>
    </row>
    <row r="19" spans="1:15">
      <c r="A19" s="60" t="s">
        <v>6</v>
      </c>
      <c r="B19" s="53">
        <f>SUM(B15:B18)</f>
        <v>26</v>
      </c>
      <c r="C19" s="53">
        <f>SUM(C15:C18)</f>
        <v>39</v>
      </c>
      <c r="D19" s="53">
        <f>SUM(D15:D18)</f>
        <v>35</v>
      </c>
      <c r="E19" s="53">
        <f t="shared" ref="E19:H19" si="2">SUM(E15:E18)</f>
        <v>22</v>
      </c>
      <c r="F19" s="53">
        <f t="shared" si="2"/>
        <v>24</v>
      </c>
      <c r="G19" s="53">
        <f t="shared" si="2"/>
        <v>6</v>
      </c>
      <c r="H19" s="53">
        <f t="shared" si="2"/>
        <v>0</v>
      </c>
      <c r="I19" s="53">
        <f>SUM(B19:H19)</f>
        <v>152</v>
      </c>
      <c r="J19" s="87"/>
      <c r="K19" s="87"/>
      <c r="L19" s="87"/>
      <c r="M19" s="95"/>
      <c r="N19" s="95"/>
      <c r="O19" s="95"/>
    </row>
    <row r="20" spans="1:15">
      <c r="A20" s="225" t="s">
        <v>70</v>
      </c>
      <c r="B20" s="70"/>
      <c r="C20" s="70"/>
      <c r="D20" s="70"/>
      <c r="E20" s="70"/>
      <c r="F20" s="221"/>
      <c r="G20" s="221"/>
      <c r="H20" s="221"/>
      <c r="I20" s="221"/>
      <c r="J20" s="87"/>
    </row>
    <row r="21" spans="1:15" s="46" customFormat="1">
      <c r="A21" s="223" t="s">
        <v>346</v>
      </c>
      <c r="B21" s="68"/>
      <c r="C21" s="68">
        <f>0+2</f>
        <v>2</v>
      </c>
      <c r="D21" s="68"/>
      <c r="E21" s="68">
        <f>1+0</f>
        <v>1</v>
      </c>
      <c r="F21" s="64"/>
      <c r="G21" s="64"/>
      <c r="H21" s="64"/>
      <c r="I21" s="57">
        <f>SUM(B21:H21)</f>
        <v>3</v>
      </c>
      <c r="J21" s="87"/>
      <c r="K21" s="87"/>
      <c r="L21" s="87"/>
      <c r="M21" s="87"/>
      <c r="N21" s="87"/>
      <c r="O21" s="87"/>
    </row>
    <row r="22" spans="1:15" s="46" customFormat="1">
      <c r="A22" s="223" t="s">
        <v>347</v>
      </c>
      <c r="B22" s="68"/>
      <c r="C22" s="68"/>
      <c r="D22" s="68">
        <v>1</v>
      </c>
      <c r="E22" s="68"/>
      <c r="F22" s="64"/>
      <c r="G22" s="64"/>
      <c r="H22" s="64"/>
      <c r="I22" s="57">
        <f>SUM(B22:H22)</f>
        <v>1</v>
      </c>
      <c r="J22" s="87"/>
      <c r="K22" s="87"/>
      <c r="L22" s="87"/>
      <c r="M22" s="87"/>
      <c r="N22" s="87"/>
      <c r="O22" s="87"/>
    </row>
    <row r="23" spans="1:15" s="46" customFormat="1">
      <c r="A23" s="226" t="s">
        <v>82</v>
      </c>
      <c r="B23" s="71">
        <v>8</v>
      </c>
      <c r="C23" s="71">
        <f>9+1</f>
        <v>10</v>
      </c>
      <c r="D23" s="71">
        <v>17</v>
      </c>
      <c r="E23" s="71">
        <f>14+10</f>
        <v>24</v>
      </c>
      <c r="F23" s="57">
        <v>16</v>
      </c>
      <c r="G23" s="57"/>
      <c r="H23" s="57"/>
      <c r="I23" s="64">
        <f>SUM(B23:H23)</f>
        <v>75</v>
      </c>
      <c r="J23" s="87"/>
      <c r="K23" s="87"/>
      <c r="L23" s="87"/>
      <c r="M23" s="87"/>
      <c r="N23" s="87"/>
      <c r="O23" s="87"/>
    </row>
    <row r="24" spans="1:15">
      <c r="A24" s="60" t="s">
        <v>6</v>
      </c>
      <c r="B24" s="53">
        <f t="shared" ref="B24:H24" si="3">SUM(B21:B23)</f>
        <v>8</v>
      </c>
      <c r="C24" s="53">
        <f t="shared" si="3"/>
        <v>12</v>
      </c>
      <c r="D24" s="53">
        <f t="shared" si="3"/>
        <v>18</v>
      </c>
      <c r="E24" s="53">
        <f t="shared" si="3"/>
        <v>25</v>
      </c>
      <c r="F24" s="53">
        <f t="shared" si="3"/>
        <v>16</v>
      </c>
      <c r="G24" s="53">
        <f t="shared" si="3"/>
        <v>0</v>
      </c>
      <c r="H24" s="53">
        <f t="shared" si="3"/>
        <v>0</v>
      </c>
      <c r="I24" s="53">
        <f>SUM(B24:H24)</f>
        <v>79</v>
      </c>
      <c r="J24" s="87"/>
      <c r="K24" s="87"/>
      <c r="L24" s="87"/>
      <c r="M24" s="87"/>
      <c r="N24" s="87"/>
      <c r="O24" s="87"/>
    </row>
    <row r="25" spans="1:15">
      <c r="A25" s="225" t="s">
        <v>125</v>
      </c>
      <c r="B25" s="70"/>
      <c r="C25" s="70"/>
      <c r="D25" s="70"/>
      <c r="E25" s="70"/>
      <c r="F25" s="64"/>
      <c r="G25" s="64"/>
      <c r="H25" s="64"/>
      <c r="I25" s="64"/>
      <c r="J25" s="87"/>
      <c r="K25" s="87">
        <f>45+26</f>
        <v>71</v>
      </c>
      <c r="L25" s="87"/>
      <c r="M25" s="87"/>
      <c r="N25" s="87"/>
      <c r="O25" s="87"/>
    </row>
    <row r="26" spans="1:15" s="46" customFormat="1">
      <c r="A26" s="226" t="s">
        <v>348</v>
      </c>
      <c r="B26" s="71"/>
      <c r="C26" s="71"/>
      <c r="D26" s="71"/>
      <c r="E26" s="71">
        <v>7</v>
      </c>
      <c r="F26" s="57">
        <v>7</v>
      </c>
      <c r="G26" s="57"/>
      <c r="H26" s="57"/>
      <c r="I26" s="57">
        <f>SUM(B26:H26)</f>
        <v>14</v>
      </c>
      <c r="J26" s="87"/>
      <c r="K26" s="87">
        <f>29+12</f>
        <v>41</v>
      </c>
      <c r="L26" s="87"/>
      <c r="M26" s="87"/>
      <c r="N26" s="87">
        <f>I13+I24+I28+I32+I36</f>
        <v>668</v>
      </c>
      <c r="O26" s="87"/>
    </row>
    <row r="27" spans="1:15">
      <c r="A27" s="67"/>
      <c r="B27" s="68"/>
      <c r="C27" s="68"/>
      <c r="D27" s="68"/>
      <c r="E27" s="68"/>
      <c r="F27" s="64"/>
      <c r="G27" s="64"/>
      <c r="H27" s="64"/>
      <c r="I27" s="64"/>
      <c r="J27" s="87"/>
      <c r="K27" s="87">
        <f>SUM(K25:K26)</f>
        <v>112</v>
      </c>
      <c r="L27" s="87"/>
      <c r="M27" s="87"/>
      <c r="N27" s="87">
        <f>I19+I35</f>
        <v>192</v>
      </c>
      <c r="O27" s="87">
        <f>20</f>
        <v>20</v>
      </c>
    </row>
    <row r="28" spans="1:15">
      <c r="A28" s="60" t="s">
        <v>6</v>
      </c>
      <c r="B28" s="53">
        <f t="shared" ref="B28:C28" si="4">SUM(B26:B27)</f>
        <v>0</v>
      </c>
      <c r="C28" s="53">
        <f t="shared" si="4"/>
        <v>0</v>
      </c>
      <c r="D28" s="53">
        <f t="shared" ref="D28:H28" si="5">SUM(D26:D27)</f>
        <v>0</v>
      </c>
      <c r="E28" s="53">
        <f t="shared" si="5"/>
        <v>7</v>
      </c>
      <c r="F28" s="53">
        <f t="shared" si="5"/>
        <v>7</v>
      </c>
      <c r="G28" s="53">
        <f t="shared" si="5"/>
        <v>0</v>
      </c>
      <c r="H28" s="53">
        <f t="shared" si="5"/>
        <v>0</v>
      </c>
      <c r="I28" s="53">
        <f>SUM(B28:H28)</f>
        <v>14</v>
      </c>
      <c r="J28" s="87"/>
      <c r="K28" s="87"/>
      <c r="L28" s="87"/>
      <c r="M28" s="87"/>
      <c r="N28" s="87">
        <f>SUM(N26:N27)</f>
        <v>860</v>
      </c>
      <c r="O28" s="87"/>
    </row>
    <row r="29" spans="1:15">
      <c r="A29" s="225" t="s">
        <v>188</v>
      </c>
      <c r="B29" s="70"/>
      <c r="C29" s="70"/>
      <c r="D29" s="70"/>
      <c r="E29" s="70"/>
      <c r="F29" s="64"/>
      <c r="G29" s="64"/>
      <c r="H29" s="64"/>
      <c r="I29" s="64"/>
      <c r="J29" s="87"/>
      <c r="K29" s="87"/>
      <c r="L29" s="87"/>
      <c r="M29" s="87"/>
      <c r="N29" s="87">
        <v>329</v>
      </c>
      <c r="O29" s="87"/>
    </row>
    <row r="30" spans="1:15" s="46" customFormat="1">
      <c r="A30" s="226" t="s">
        <v>349</v>
      </c>
      <c r="B30" s="71"/>
      <c r="C30" s="71"/>
      <c r="D30" s="71"/>
      <c r="E30" s="71"/>
      <c r="F30" s="57"/>
      <c r="G30" s="57"/>
      <c r="H30" s="57"/>
      <c r="I30" s="57">
        <f>SUM(C30:H30)</f>
        <v>0</v>
      </c>
      <c r="J30" s="87"/>
      <c r="K30" s="87"/>
      <c r="L30" s="87"/>
      <c r="M30" s="87"/>
      <c r="N30" s="87">
        <f>SUM(N28:N29)</f>
        <v>1189</v>
      </c>
      <c r="O30" s="87"/>
    </row>
    <row r="31" spans="1:15">
      <c r="A31" s="67"/>
      <c r="B31" s="68"/>
      <c r="C31" s="68"/>
      <c r="D31" s="68"/>
      <c r="E31" s="68"/>
      <c r="F31" s="64"/>
      <c r="G31" s="64"/>
      <c r="H31" s="64"/>
      <c r="I31" s="64"/>
      <c r="J31" s="229"/>
      <c r="K31" s="89"/>
      <c r="L31" s="89"/>
      <c r="M31" s="245"/>
      <c r="N31" s="87"/>
      <c r="O31" s="87"/>
    </row>
    <row r="32" spans="1:15">
      <c r="A32" s="60" t="s">
        <v>6</v>
      </c>
      <c r="B32" s="60"/>
      <c r="C32" s="53">
        <f t="shared" ref="C32" si="6">SUM(C30:C31)</f>
        <v>0</v>
      </c>
      <c r="D32" s="53">
        <f t="shared" ref="D32:H32" si="7">SUM(D30:D31)</f>
        <v>0</v>
      </c>
      <c r="E32" s="53">
        <f t="shared" si="7"/>
        <v>0</v>
      </c>
      <c r="F32" s="53">
        <f t="shared" si="7"/>
        <v>0</v>
      </c>
      <c r="G32" s="53">
        <f t="shared" si="7"/>
        <v>0</v>
      </c>
      <c r="H32" s="53">
        <f t="shared" si="7"/>
        <v>0</v>
      </c>
      <c r="I32" s="53">
        <f>SUM(B32:H32)</f>
        <v>0</v>
      </c>
      <c r="J32" s="80"/>
      <c r="K32" s="87" t="s">
        <v>44</v>
      </c>
      <c r="L32" s="87"/>
      <c r="M32" s="92">
        <f>N11+N19</f>
        <v>192</v>
      </c>
      <c r="N32" s="87"/>
      <c r="O32" s="87"/>
    </row>
    <row r="33" spans="1:15">
      <c r="A33" s="61" t="s">
        <v>139</v>
      </c>
      <c r="B33" s="61"/>
      <c r="C33" s="61"/>
      <c r="D33" s="61"/>
      <c r="E33" s="61"/>
      <c r="F33" s="53"/>
      <c r="G33" s="53"/>
      <c r="H33" s="53"/>
      <c r="I33" s="53"/>
      <c r="J33" s="80"/>
      <c r="K33" s="87" t="s">
        <v>25</v>
      </c>
      <c r="L33" s="87"/>
      <c r="M33" s="92">
        <f>M11+M19</f>
        <v>549</v>
      </c>
      <c r="N33" s="87">
        <f>20+1</f>
        <v>21</v>
      </c>
      <c r="O33" s="87"/>
    </row>
    <row r="34" spans="1:15" s="46" customFormat="1">
      <c r="A34" s="223" t="s">
        <v>18</v>
      </c>
      <c r="B34" s="67">
        <v>32</v>
      </c>
      <c r="C34" s="67">
        <f>13+13</f>
        <v>26</v>
      </c>
      <c r="D34" s="67">
        <v>15</v>
      </c>
      <c r="E34" s="67">
        <v>9</v>
      </c>
      <c r="F34" s="74">
        <v>4</v>
      </c>
      <c r="G34" s="74"/>
      <c r="H34" s="74"/>
      <c r="I34" s="74">
        <f>SUM(B34:H34)</f>
        <v>86</v>
      </c>
      <c r="J34" s="80"/>
      <c r="K34" s="87" t="s">
        <v>350</v>
      </c>
      <c r="L34" s="87"/>
      <c r="M34" s="92">
        <f>I40</f>
        <v>220</v>
      </c>
      <c r="N34" s="87"/>
      <c r="O34" s="87"/>
    </row>
    <row r="35" spans="1:15" s="46" customFormat="1">
      <c r="A35" s="223" t="s">
        <v>351</v>
      </c>
      <c r="B35" s="68"/>
      <c r="C35" s="68">
        <f>4+3</f>
        <v>7</v>
      </c>
      <c r="D35" s="68">
        <f>13</f>
        <v>13</v>
      </c>
      <c r="E35" s="68">
        <f>8+4</f>
        <v>12</v>
      </c>
      <c r="F35" s="64">
        <v>8</v>
      </c>
      <c r="G35" s="64"/>
      <c r="H35" s="64"/>
      <c r="I35" s="64">
        <f>SUM(B35:H35)</f>
        <v>40</v>
      </c>
      <c r="J35" s="246"/>
      <c r="K35" s="96"/>
      <c r="L35" s="96"/>
      <c r="M35" s="98">
        <f>SUM(M32:M34)</f>
        <v>961</v>
      </c>
      <c r="N35" s="87"/>
      <c r="O35" s="87"/>
    </row>
    <row r="36" spans="1:15">
      <c r="A36" s="60" t="s">
        <v>6</v>
      </c>
      <c r="B36" s="53">
        <f t="shared" ref="B36:C36" si="8">SUM(B34:B35)</f>
        <v>32</v>
      </c>
      <c r="C36" s="53">
        <f t="shared" si="8"/>
        <v>33</v>
      </c>
      <c r="D36" s="53">
        <f t="shared" ref="D36:H36" si="9">SUM(D34:D35)</f>
        <v>28</v>
      </c>
      <c r="E36" s="53">
        <f t="shared" si="9"/>
        <v>21</v>
      </c>
      <c r="F36" s="53">
        <f t="shared" si="9"/>
        <v>12</v>
      </c>
      <c r="G36" s="53">
        <f t="shared" si="9"/>
        <v>0</v>
      </c>
      <c r="H36" s="53">
        <f t="shared" si="9"/>
        <v>0</v>
      </c>
      <c r="I36" s="53">
        <f>SUM(B36:H36)</f>
        <v>126</v>
      </c>
      <c r="J36" s="87"/>
      <c r="K36" s="87"/>
      <c r="L36" s="87"/>
      <c r="M36" s="87"/>
      <c r="N36" s="87"/>
      <c r="O36" s="87"/>
    </row>
    <row r="37" spans="1:15">
      <c r="A37" s="70" t="s">
        <v>352</v>
      </c>
      <c r="B37" s="227"/>
      <c r="C37" s="227"/>
      <c r="D37" s="227"/>
      <c r="E37" s="227"/>
      <c r="F37" s="87"/>
      <c r="G37" s="87"/>
      <c r="H37" s="87"/>
      <c r="I37" s="64"/>
      <c r="J37" s="87"/>
      <c r="K37" s="87"/>
      <c r="L37" s="87"/>
      <c r="M37" s="87"/>
      <c r="N37" s="87"/>
      <c r="O37" s="87"/>
    </row>
    <row r="38" spans="1:15">
      <c r="A38" s="777" t="s">
        <v>353</v>
      </c>
      <c r="B38" s="228"/>
      <c r="C38" s="228"/>
      <c r="D38" s="228"/>
      <c r="E38" s="228"/>
      <c r="F38" s="229"/>
      <c r="G38" s="229"/>
      <c r="H38" s="221"/>
      <c r="I38" s="221">
        <f>SUM(D38:H38)</f>
        <v>0</v>
      </c>
      <c r="J38" s="91"/>
      <c r="K38" s="91"/>
      <c r="L38" s="91"/>
      <c r="M38" s="91"/>
      <c r="N38" s="91"/>
      <c r="O38" s="91"/>
    </row>
    <row r="39" spans="1:15">
      <c r="A39" s="778" t="s">
        <v>354</v>
      </c>
      <c r="B39" s="230">
        <v>180</v>
      </c>
      <c r="C39" s="230">
        <v>13</v>
      </c>
      <c r="D39" s="230">
        <v>27</v>
      </c>
      <c r="E39" s="230"/>
      <c r="F39" s="231"/>
      <c r="G39" s="231"/>
      <c r="H39" s="53"/>
      <c r="I39" s="53">
        <f>SUM(B39:H39)</f>
        <v>220</v>
      </c>
      <c r="J39" s="87"/>
      <c r="K39" s="87"/>
      <c r="L39" s="87"/>
      <c r="M39" s="87"/>
      <c r="N39" s="87"/>
      <c r="O39" s="87"/>
    </row>
    <row r="40" spans="1:15" s="46" customFormat="1">
      <c r="A40" s="62"/>
      <c r="B40" s="232">
        <f>SUM(B38:B39)</f>
        <v>180</v>
      </c>
      <c r="C40" s="232">
        <f>SUM(C38:C39)</f>
        <v>13</v>
      </c>
      <c r="D40" s="232">
        <f>SUM(D38:D39)</f>
        <v>27</v>
      </c>
      <c r="E40" s="233"/>
      <c r="F40" s="232">
        <f>SUM(F38:F39)</f>
        <v>0</v>
      </c>
      <c r="G40" s="232">
        <f>SUM(G38:G39)</f>
        <v>0</v>
      </c>
      <c r="H40" s="53"/>
      <c r="I40" s="221">
        <f>SUM(B40:H40)</f>
        <v>220</v>
      </c>
      <c r="J40" s="87"/>
      <c r="K40" s="87"/>
      <c r="L40" s="87"/>
      <c r="M40" s="87"/>
      <c r="N40" s="87"/>
      <c r="O40" s="87"/>
    </row>
    <row r="41" spans="1:15">
      <c r="A41" s="234" t="s">
        <v>159</v>
      </c>
      <c r="B41" s="234">
        <f t="shared" ref="B41:H41" si="10">SUM(B13,B19,B24,B28,B32,B36,B40)</f>
        <v>374</v>
      </c>
      <c r="C41" s="234">
        <f t="shared" si="10"/>
        <v>216</v>
      </c>
      <c r="D41" s="234">
        <f t="shared" si="10"/>
        <v>184</v>
      </c>
      <c r="E41" s="234">
        <f t="shared" si="10"/>
        <v>139</v>
      </c>
      <c r="F41" s="234">
        <f t="shared" si="10"/>
        <v>121</v>
      </c>
      <c r="G41" s="234">
        <f t="shared" si="10"/>
        <v>6</v>
      </c>
      <c r="H41" s="234">
        <f t="shared" si="10"/>
        <v>0</v>
      </c>
      <c r="I41" s="51">
        <f>SUM(B41:H41)</f>
        <v>1040</v>
      </c>
      <c r="J41" s="64"/>
      <c r="K41" s="64"/>
      <c r="L41" s="64"/>
      <c r="M41" s="64"/>
      <c r="N41" s="64"/>
      <c r="O41" s="64"/>
    </row>
    <row r="42" spans="1:15">
      <c r="A42" s="235"/>
      <c r="B42" s="76"/>
      <c r="C42" s="236" t="s">
        <v>355</v>
      </c>
      <c r="D42" s="237" t="s">
        <v>356</v>
      </c>
      <c r="E42" s="79" t="s">
        <v>6</v>
      </c>
      <c r="F42" s="229"/>
      <c r="G42" s="221"/>
    </row>
    <row r="43" spans="1:15">
      <c r="A43" s="238" t="s">
        <v>12</v>
      </c>
      <c r="B43" s="81"/>
      <c r="C43" s="82">
        <f>บัณฑิตศึกษา!I40</f>
        <v>220</v>
      </c>
      <c r="D43" s="81"/>
      <c r="E43" s="83">
        <f>SUM(C43:D43)</f>
        <v>220</v>
      </c>
      <c r="F43" s="53"/>
      <c r="G43" s="53"/>
      <c r="H43" s="53"/>
      <c r="I43" s="48">
        <f>'ปกติ (2)'!I135+'ปกติ (2)'!I136</f>
        <v>35</v>
      </c>
    </row>
    <row r="44" spans="1:15">
      <c r="A44" s="238" t="s">
        <v>25</v>
      </c>
      <c r="B44" s="81"/>
      <c r="C44" s="82">
        <f>M11</f>
        <v>549</v>
      </c>
      <c r="D44" s="82">
        <f>M16</f>
        <v>78</v>
      </c>
      <c r="E44" s="83">
        <f>SUM(C44:D44)</f>
        <v>627</v>
      </c>
      <c r="F44" s="53"/>
      <c r="G44" s="53"/>
      <c r="H44" s="53"/>
      <c r="I44" s="48">
        <f>SUM(I41:I43)</f>
        <v>1075</v>
      </c>
    </row>
    <row r="45" spans="1:15">
      <c r="A45" s="238" t="s">
        <v>169</v>
      </c>
      <c r="B45" s="81"/>
      <c r="C45" s="82">
        <f>N11</f>
        <v>192</v>
      </c>
      <c r="D45" s="82">
        <f>N16</f>
        <v>1</v>
      </c>
      <c r="E45" s="83">
        <f>SUM(C45:D45)</f>
        <v>193</v>
      </c>
      <c r="F45" s="53"/>
      <c r="G45" s="53"/>
      <c r="H45" s="53"/>
    </row>
    <row r="46" spans="1:15">
      <c r="A46" s="239" t="s">
        <v>6</v>
      </c>
      <c r="B46" s="84"/>
      <c r="C46" s="85">
        <f>SUM(C43:C45)</f>
        <v>961</v>
      </c>
      <c r="D46" s="85">
        <f>SUM(D43:D45)</f>
        <v>79</v>
      </c>
      <c r="E46" s="85">
        <f>SUM(E43:E45)</f>
        <v>1040</v>
      </c>
      <c r="F46" s="53"/>
      <c r="G46" s="53"/>
      <c r="H46" s="53"/>
    </row>
    <row r="48" spans="1:15">
      <c r="A48" s="853" t="s">
        <v>255</v>
      </c>
      <c r="B48" s="854"/>
      <c r="C48" s="854"/>
      <c r="D48" s="854"/>
    </row>
  </sheetData>
  <mergeCells count="3">
    <mergeCell ref="A1:I1"/>
    <mergeCell ref="A48:D48"/>
    <mergeCell ref="A3:A4"/>
  </mergeCells>
  <printOptions horizontalCentered="1"/>
  <pageMargins left="0.47244094488188998" right="0.55118110236220497" top="0.98425196850393704" bottom="0.98425196850393704" header="0.511811023622047" footer="0.511811023622047"/>
  <pageSetup paperSize="9" scale="96" orientation="portrait" r:id="rId1"/>
  <headerFooter alignWithMargins="0">
    <oddFooter>&amp;Cหน้าที่ &amp;P จาก &amp;N</oddFooter>
  </headerFooter>
  <rowBreaks count="1" manualBreakCount="1">
    <brk id="3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zoomScale="140" zoomScaleNormal="100" workbookViewId="0">
      <pane ySplit="4" topLeftCell="A29" activePane="bottomLeft" state="frozen"/>
      <selection pane="bottomLeft" activeCell="I44" sqref="I44"/>
    </sheetView>
  </sheetViews>
  <sheetFormatPr defaultColWidth="9.140625" defaultRowHeight="12.75"/>
  <cols>
    <col min="1" max="1" width="30" style="143" customWidth="1"/>
    <col min="2" max="2" width="8.85546875" style="143" customWidth="1"/>
    <col min="3" max="3" width="8" style="143" customWidth="1"/>
    <col min="4" max="8" width="7.42578125" style="158" customWidth="1"/>
    <col min="9" max="9" width="9.42578125" style="158" customWidth="1"/>
    <col min="10" max="10" width="8.42578125" style="158" hidden="1" customWidth="1"/>
    <col min="11" max="11" width="19.42578125" style="158" customWidth="1"/>
    <col min="12" max="16" width="8.42578125" style="158" customWidth="1"/>
    <col min="17" max="17" width="9.140625" style="143"/>
    <col min="18" max="18" width="11.7109375" style="143" customWidth="1"/>
    <col min="19" max="16384" width="9.140625" style="143"/>
  </cols>
  <sheetData>
    <row r="1" spans="1:19" ht="14.25">
      <c r="A1" s="897" t="s">
        <v>357</v>
      </c>
      <c r="B1" s="898"/>
      <c r="C1" s="898"/>
      <c r="D1" s="898"/>
      <c r="E1" s="898"/>
      <c r="F1" s="898"/>
      <c r="G1" s="898"/>
      <c r="H1" s="898"/>
      <c r="I1" s="899"/>
      <c r="J1" s="195"/>
      <c r="K1" s="195"/>
      <c r="L1" s="195"/>
      <c r="M1" s="195"/>
      <c r="N1" s="195"/>
      <c r="O1" s="195"/>
      <c r="P1" s="195"/>
    </row>
    <row r="3" spans="1:19">
      <c r="A3" s="828" t="s">
        <v>31</v>
      </c>
      <c r="B3" s="779" t="s">
        <v>33</v>
      </c>
      <c r="C3" s="779" t="s">
        <v>34</v>
      </c>
      <c r="D3" s="779" t="s">
        <v>35</v>
      </c>
      <c r="E3" s="779" t="s">
        <v>36</v>
      </c>
      <c r="F3" s="779" t="s">
        <v>37</v>
      </c>
      <c r="G3" s="779" t="s">
        <v>160</v>
      </c>
      <c r="H3" s="779" t="s">
        <v>174</v>
      </c>
      <c r="I3" s="159" t="s">
        <v>6</v>
      </c>
      <c r="J3" s="196"/>
      <c r="K3" s="196"/>
      <c r="L3" s="196"/>
      <c r="M3" s="196"/>
      <c r="N3" s="196"/>
      <c r="O3" s="196"/>
      <c r="P3" s="196"/>
      <c r="Q3" s="143" t="s">
        <v>358</v>
      </c>
    </row>
    <row r="4" spans="1:19">
      <c r="A4" s="829"/>
      <c r="B4" s="160"/>
      <c r="C4" s="160"/>
      <c r="D4" s="161"/>
      <c r="E4" s="161"/>
      <c r="F4" s="161"/>
      <c r="G4" s="161"/>
      <c r="H4" s="161"/>
      <c r="I4" s="161"/>
      <c r="J4" s="164"/>
      <c r="K4" s="164"/>
      <c r="L4" s="164"/>
      <c r="M4" s="164"/>
      <c r="N4" s="164"/>
      <c r="O4" s="164"/>
      <c r="P4" s="164"/>
    </row>
    <row r="5" spans="1:19">
      <c r="A5" s="162" t="s">
        <v>40</v>
      </c>
      <c r="B5" s="163"/>
      <c r="C5" s="163"/>
      <c r="D5" s="164"/>
      <c r="E5" s="164"/>
      <c r="F5" s="164"/>
      <c r="G5" s="164"/>
      <c r="H5" s="164"/>
      <c r="I5" s="197"/>
      <c r="J5" s="161"/>
      <c r="K5" s="161"/>
      <c r="L5" s="161"/>
      <c r="M5" s="161"/>
      <c r="N5" s="161"/>
      <c r="O5" s="164"/>
      <c r="P5" s="164"/>
    </row>
    <row r="6" spans="1:19">
      <c r="A6" s="165" t="s">
        <v>25</v>
      </c>
      <c r="B6" s="166"/>
      <c r="C6" s="166"/>
      <c r="D6" s="167"/>
      <c r="E6" s="167"/>
      <c r="F6" s="167"/>
      <c r="G6" s="167"/>
      <c r="H6" s="167"/>
      <c r="I6" s="198"/>
      <c r="J6" s="161"/>
      <c r="K6" s="161"/>
      <c r="L6" s="161" t="s">
        <v>168</v>
      </c>
      <c r="M6" s="161" t="s">
        <v>169</v>
      </c>
      <c r="N6" s="161"/>
      <c r="O6" s="164"/>
      <c r="P6" s="164"/>
    </row>
    <row r="7" spans="1:19">
      <c r="A7" s="168" t="s">
        <v>65</v>
      </c>
      <c r="B7" s="168"/>
      <c r="C7" s="168">
        <v>45</v>
      </c>
      <c r="D7" s="169">
        <f>5+18+37</f>
        <v>60</v>
      </c>
      <c r="E7" s="169">
        <v>41</v>
      </c>
      <c r="F7" s="169">
        <v>24</v>
      </c>
      <c r="G7" s="169"/>
      <c r="H7" s="169"/>
      <c r="I7" s="169">
        <f>SUM(B7:H7)</f>
        <v>170</v>
      </c>
      <c r="J7" s="161"/>
      <c r="K7" s="161" t="s">
        <v>335</v>
      </c>
      <c r="L7" s="161">
        <f>I12</f>
        <v>502</v>
      </c>
      <c r="M7" s="161">
        <f>I17</f>
        <v>138</v>
      </c>
      <c r="N7" s="161">
        <f>SUM(L7:M7)</f>
        <v>640</v>
      </c>
      <c r="O7" s="199"/>
      <c r="P7" s="169" t="s">
        <v>359</v>
      </c>
      <c r="S7" s="153">
        <f>I12+I17</f>
        <v>640</v>
      </c>
    </row>
    <row r="8" spans="1:19">
      <c r="A8" s="170" t="s">
        <v>338</v>
      </c>
      <c r="B8" s="170"/>
      <c r="C8" s="170"/>
      <c r="D8" s="171">
        <f>37+5+21</f>
        <v>63</v>
      </c>
      <c r="E8" s="171">
        <f>36+19+6</f>
        <v>61</v>
      </c>
      <c r="F8" s="171">
        <f>27+4+5</f>
        <v>36</v>
      </c>
      <c r="G8" s="171"/>
      <c r="H8" s="171"/>
      <c r="I8" s="171">
        <f>SUM(B8:H8)</f>
        <v>160</v>
      </c>
      <c r="J8" s="161"/>
      <c r="K8" s="161" t="s">
        <v>337</v>
      </c>
      <c r="L8" s="161">
        <f>I27</f>
        <v>45</v>
      </c>
      <c r="M8" s="161"/>
      <c r="N8" s="161">
        <f>SUM(L8:M8)</f>
        <v>45</v>
      </c>
      <c r="O8" s="199"/>
      <c r="P8" s="169" t="s">
        <v>359</v>
      </c>
    </row>
    <row r="9" spans="1:19">
      <c r="A9" s="170" t="s">
        <v>339</v>
      </c>
      <c r="B9" s="170"/>
      <c r="C9" s="170">
        <v>37</v>
      </c>
      <c r="D9" s="171">
        <v>18</v>
      </c>
      <c r="E9" s="171">
        <v>31</v>
      </c>
      <c r="F9" s="171">
        <v>19</v>
      </c>
      <c r="G9" s="171"/>
      <c r="H9" s="171"/>
      <c r="I9" s="171">
        <f>SUM(B9:H9)</f>
        <v>105</v>
      </c>
      <c r="J9" s="161"/>
      <c r="K9" s="161" t="s">
        <v>28</v>
      </c>
      <c r="L9" s="161">
        <f>I33</f>
        <v>71</v>
      </c>
      <c r="M9" s="161">
        <f>I34</f>
        <v>20</v>
      </c>
      <c r="N9" s="161">
        <f>SUM(L9:M9)</f>
        <v>91</v>
      </c>
      <c r="O9" s="164"/>
      <c r="P9" s="164"/>
    </row>
    <row r="10" spans="1:19">
      <c r="A10" s="170" t="s">
        <v>340</v>
      </c>
      <c r="B10" s="170"/>
      <c r="C10" s="170">
        <v>40</v>
      </c>
      <c r="D10" s="171"/>
      <c r="E10" s="171"/>
      <c r="F10" s="171"/>
      <c r="G10" s="171"/>
      <c r="H10" s="171"/>
      <c r="I10" s="171">
        <f>SUM(B10:H10)</f>
        <v>40</v>
      </c>
      <c r="J10" s="161"/>
      <c r="K10" s="161" t="s">
        <v>341</v>
      </c>
      <c r="L10" s="175">
        <f>SUM(L7:L9)</f>
        <v>618</v>
      </c>
      <c r="M10" s="175">
        <f>SUM(M7:M9)</f>
        <v>158</v>
      </c>
      <c r="N10" s="175">
        <f>SUM(N7:N9)</f>
        <v>776</v>
      </c>
      <c r="O10" s="164"/>
      <c r="P10" s="164"/>
      <c r="Q10" s="143">
        <v>9</v>
      </c>
      <c r="R10" s="143">
        <f>SUM(I10:Q10)</f>
        <v>1601</v>
      </c>
    </row>
    <row r="11" spans="1:19">
      <c r="A11" s="172" t="s">
        <v>342</v>
      </c>
      <c r="B11" s="172"/>
      <c r="C11" s="172">
        <v>27</v>
      </c>
      <c r="D11" s="173"/>
      <c r="E11" s="173"/>
      <c r="F11" s="173"/>
      <c r="G11" s="173"/>
      <c r="H11" s="173"/>
      <c r="I11" s="177">
        <f>SUM(B11:H11)</f>
        <v>27</v>
      </c>
      <c r="J11" s="161"/>
      <c r="K11" s="161"/>
      <c r="L11" s="161"/>
      <c r="M11" s="161"/>
      <c r="N11" s="161"/>
      <c r="O11" s="164"/>
      <c r="P11" s="164"/>
    </row>
    <row r="12" spans="1:19">
      <c r="A12" s="174" t="s">
        <v>6</v>
      </c>
      <c r="B12" s="175">
        <f>SUM(B7:B11)</f>
        <v>0</v>
      </c>
      <c r="C12" s="175">
        <f t="shared" ref="C12:I12" si="0">SUM(C7:C11)</f>
        <v>149</v>
      </c>
      <c r="D12" s="175">
        <f t="shared" si="0"/>
        <v>141</v>
      </c>
      <c r="E12" s="175">
        <f t="shared" si="0"/>
        <v>133</v>
      </c>
      <c r="F12" s="175">
        <f t="shared" si="0"/>
        <v>79</v>
      </c>
      <c r="G12" s="175">
        <f t="shared" si="0"/>
        <v>0</v>
      </c>
      <c r="H12" s="175">
        <f t="shared" si="0"/>
        <v>0</v>
      </c>
      <c r="I12" s="175">
        <f t="shared" si="0"/>
        <v>502</v>
      </c>
      <c r="J12" s="161">
        <f>I7+I8+I9+I10</f>
        <v>475</v>
      </c>
      <c r="K12" s="175"/>
      <c r="L12" s="161"/>
      <c r="M12" s="161"/>
      <c r="N12" s="161"/>
      <c r="O12" s="200"/>
      <c r="P12" s="200" t="e">
        <f>D12+E12+F12+G12+H12+#REF!</f>
        <v>#REF!</v>
      </c>
    </row>
    <row r="13" spans="1:19">
      <c r="A13" s="176" t="s">
        <v>66</v>
      </c>
      <c r="B13" s="176"/>
      <c r="C13" s="176"/>
      <c r="D13" s="177">
        <f>12+4</f>
        <v>16</v>
      </c>
      <c r="E13" s="177">
        <v>12</v>
      </c>
      <c r="F13" s="177">
        <v>7</v>
      </c>
      <c r="G13" s="177">
        <v>8</v>
      </c>
      <c r="H13" s="177"/>
      <c r="I13" s="169">
        <f>SUM(B13:H13)</f>
        <v>43</v>
      </c>
      <c r="J13" s="161"/>
      <c r="K13" s="161" t="s">
        <v>17</v>
      </c>
      <c r="L13" s="161">
        <f>I19+I20+I22</f>
        <v>55</v>
      </c>
      <c r="M13" s="161">
        <f>I21</f>
        <v>1</v>
      </c>
      <c r="N13" s="161">
        <f>SUM(L13:M13)</f>
        <v>56</v>
      </c>
      <c r="O13" s="197"/>
      <c r="P13" s="177" t="s">
        <v>360</v>
      </c>
      <c r="Q13" s="211">
        <v>6</v>
      </c>
      <c r="R13" s="143">
        <f>SUM(I13:Q13)</f>
        <v>161</v>
      </c>
    </row>
    <row r="14" spans="1:19">
      <c r="A14" s="170" t="s">
        <v>67</v>
      </c>
      <c r="B14" s="170"/>
      <c r="C14" s="170">
        <v>15</v>
      </c>
      <c r="D14" s="171"/>
      <c r="E14" s="171"/>
      <c r="F14" s="171"/>
      <c r="G14" s="171"/>
      <c r="H14" s="171"/>
      <c r="I14" s="171">
        <f>SUM(B14:H14)</f>
        <v>15</v>
      </c>
      <c r="J14" s="161"/>
      <c r="K14" s="161" t="s">
        <v>343</v>
      </c>
      <c r="L14" s="161"/>
      <c r="M14" s="161"/>
      <c r="N14" s="161">
        <f>SUM(L14:M14)</f>
        <v>0</v>
      </c>
      <c r="O14" s="197"/>
      <c r="P14" s="177" t="s">
        <v>361</v>
      </c>
      <c r="Q14" s="143">
        <f>6+19</f>
        <v>25</v>
      </c>
      <c r="R14" s="143">
        <f>SUM(I14:Q14)</f>
        <v>40</v>
      </c>
    </row>
    <row r="15" spans="1:19">
      <c r="A15" s="170" t="s">
        <v>68</v>
      </c>
      <c r="B15" s="170"/>
      <c r="C15" s="170"/>
      <c r="D15" s="171">
        <v>13</v>
      </c>
      <c r="E15" s="171"/>
      <c r="F15" s="171">
        <v>19</v>
      </c>
      <c r="G15" s="171"/>
      <c r="H15" s="171"/>
      <c r="I15" s="171">
        <f>SUM(B15:H15)</f>
        <v>32</v>
      </c>
      <c r="J15" s="161"/>
      <c r="K15" s="161" t="s">
        <v>343</v>
      </c>
      <c r="L15" s="161"/>
      <c r="M15" s="161"/>
      <c r="N15" s="161">
        <f>SUM(L15:M15)</f>
        <v>0</v>
      </c>
      <c r="O15" s="197"/>
      <c r="P15" s="177" t="s">
        <v>361</v>
      </c>
      <c r="Q15" s="143">
        <f>6+19</f>
        <v>25</v>
      </c>
      <c r="R15" s="143">
        <f>SUM(I15:Q15)</f>
        <v>57</v>
      </c>
    </row>
    <row r="16" spans="1:19">
      <c r="A16" s="170" t="s">
        <v>69</v>
      </c>
      <c r="B16" s="170"/>
      <c r="C16" s="170">
        <v>13</v>
      </c>
      <c r="D16" s="171">
        <v>12</v>
      </c>
      <c r="E16" s="171">
        <v>18</v>
      </c>
      <c r="F16" s="171">
        <v>5</v>
      </c>
      <c r="G16" s="171"/>
      <c r="H16" s="171"/>
      <c r="I16" s="177">
        <f>SUM(B16:H16)</f>
        <v>48</v>
      </c>
      <c r="J16" s="161"/>
      <c r="K16" s="161" t="s">
        <v>344</v>
      </c>
      <c r="L16" s="161">
        <f>I29</f>
        <v>11</v>
      </c>
      <c r="M16" s="161"/>
      <c r="N16" s="161">
        <f>SUM(L16:M16)</f>
        <v>11</v>
      </c>
      <c r="O16" s="164"/>
      <c r="P16" s="164"/>
      <c r="Q16" s="143">
        <v>9</v>
      </c>
      <c r="R16" s="143">
        <f>SUM(I16:Q16)</f>
        <v>79</v>
      </c>
    </row>
    <row r="17" spans="1:20">
      <c r="A17" s="174" t="s">
        <v>6</v>
      </c>
      <c r="B17" s="161">
        <f>SUM(B13:B16)</f>
        <v>0</v>
      </c>
      <c r="C17" s="161">
        <f t="shared" ref="C17:I17" si="1">SUM(C13:C16)</f>
        <v>28</v>
      </c>
      <c r="D17" s="161">
        <f t="shared" si="1"/>
        <v>41</v>
      </c>
      <c r="E17" s="161">
        <f t="shared" si="1"/>
        <v>30</v>
      </c>
      <c r="F17" s="161">
        <f t="shared" si="1"/>
        <v>31</v>
      </c>
      <c r="G17" s="161">
        <f t="shared" si="1"/>
        <v>8</v>
      </c>
      <c r="H17" s="161">
        <f t="shared" si="1"/>
        <v>0</v>
      </c>
      <c r="I17" s="161">
        <f t="shared" si="1"/>
        <v>138</v>
      </c>
      <c r="J17" s="161"/>
      <c r="K17" s="161" t="s">
        <v>362</v>
      </c>
      <c r="L17" s="175">
        <f>SUM(L13:L16)</f>
        <v>66</v>
      </c>
      <c r="M17" s="175">
        <f>SUM(M13:M16)</f>
        <v>1</v>
      </c>
      <c r="N17" s="175">
        <f>SUM(N13:N16)</f>
        <v>67</v>
      </c>
      <c r="O17" s="164"/>
      <c r="P17" s="164"/>
    </row>
    <row r="18" spans="1:20">
      <c r="A18" s="178" t="s">
        <v>70</v>
      </c>
      <c r="B18" s="179"/>
      <c r="C18" s="179"/>
      <c r="D18" s="169"/>
      <c r="E18" s="169"/>
      <c r="F18" s="169"/>
      <c r="G18" s="169"/>
      <c r="H18" s="169"/>
      <c r="I18" s="169"/>
      <c r="J18" s="161"/>
      <c r="K18" s="161" t="s">
        <v>21</v>
      </c>
      <c r="L18" s="175">
        <f>L10+L17</f>
        <v>684</v>
      </c>
      <c r="M18" s="175">
        <f>M10+M17</f>
        <v>159</v>
      </c>
      <c r="N18" s="175">
        <f>N10+N17</f>
        <v>843</v>
      </c>
      <c r="O18" s="164"/>
      <c r="P18" s="164"/>
    </row>
    <row r="19" spans="1:20">
      <c r="A19" s="180" t="s">
        <v>80</v>
      </c>
      <c r="B19" s="180"/>
      <c r="C19" s="180"/>
      <c r="D19" s="171"/>
      <c r="E19" s="171"/>
      <c r="F19" s="171">
        <v>2</v>
      </c>
      <c r="G19" s="171"/>
      <c r="H19" s="171"/>
      <c r="I19" s="171">
        <f>SUM(B19:H19)</f>
        <v>2</v>
      </c>
      <c r="J19" s="177"/>
      <c r="K19" s="177"/>
      <c r="L19" s="177"/>
      <c r="M19" s="177"/>
      <c r="N19" s="177"/>
      <c r="O19" s="177"/>
      <c r="P19" s="177"/>
      <c r="Q19" s="211">
        <v>3</v>
      </c>
      <c r="R19" s="143">
        <f>SUM(I19:Q19)</f>
        <v>5</v>
      </c>
      <c r="T19" s="153">
        <f>I23+I31</f>
        <v>67</v>
      </c>
    </row>
    <row r="20" spans="1:20">
      <c r="A20" s="172" t="s">
        <v>346</v>
      </c>
      <c r="B20" s="181"/>
      <c r="C20" s="181">
        <v>1</v>
      </c>
      <c r="D20" s="177">
        <v>1</v>
      </c>
      <c r="E20" s="177">
        <v>5</v>
      </c>
      <c r="F20" s="177">
        <v>1</v>
      </c>
      <c r="G20" s="177"/>
      <c r="H20" s="177"/>
      <c r="I20" s="171">
        <f>SUM(B20:H20)</f>
        <v>8</v>
      </c>
      <c r="J20" s="164"/>
      <c r="K20" s="164"/>
      <c r="L20" s="164"/>
      <c r="M20" s="164"/>
      <c r="N20" s="164"/>
      <c r="O20" s="164"/>
      <c r="P20" s="164"/>
      <c r="Q20" s="143">
        <v>3</v>
      </c>
      <c r="R20" s="143">
        <f>SUM(I20:Q20)</f>
        <v>11</v>
      </c>
    </row>
    <row r="21" spans="1:20">
      <c r="A21" s="172" t="s">
        <v>347</v>
      </c>
      <c r="B21" s="181"/>
      <c r="C21" s="181"/>
      <c r="D21" s="177">
        <v>1</v>
      </c>
      <c r="E21" s="177"/>
      <c r="F21" s="177"/>
      <c r="G21" s="177"/>
      <c r="H21" s="177"/>
      <c r="I21" s="171">
        <f>SUM(B21:H21)</f>
        <v>1</v>
      </c>
      <c r="J21" s="164"/>
      <c r="K21" s="164"/>
      <c r="L21" s="164"/>
      <c r="M21" s="164"/>
      <c r="N21" s="164"/>
      <c r="O21" s="164"/>
      <c r="P21" s="164"/>
      <c r="Q21" s="143">
        <v>3</v>
      </c>
      <c r="R21" s="143">
        <f>SUM(I21:Q21)</f>
        <v>4</v>
      </c>
    </row>
    <row r="22" spans="1:20">
      <c r="A22" s="180" t="s">
        <v>82</v>
      </c>
      <c r="B22" s="180"/>
      <c r="C22" s="180">
        <v>25</v>
      </c>
      <c r="D22" s="171">
        <v>20</v>
      </c>
      <c r="E22" s="171"/>
      <c r="F22" s="171"/>
      <c r="G22" s="171"/>
      <c r="H22" s="171"/>
      <c r="I22" s="177">
        <f>SUM(B22:H22)</f>
        <v>45</v>
      </c>
      <c r="J22" s="164"/>
      <c r="K22" s="164"/>
      <c r="L22" s="164"/>
      <c r="M22" s="164"/>
      <c r="N22" s="164"/>
      <c r="O22" s="164"/>
      <c r="P22" s="164"/>
    </row>
    <row r="23" spans="1:20">
      <c r="A23" s="174" t="s">
        <v>6</v>
      </c>
      <c r="B23" s="161">
        <f t="shared" ref="B23:H23" si="2">SUM(B19:B22)</f>
        <v>0</v>
      </c>
      <c r="C23" s="161">
        <f t="shared" si="2"/>
        <v>26</v>
      </c>
      <c r="D23" s="161">
        <f t="shared" si="2"/>
        <v>22</v>
      </c>
      <c r="E23" s="161">
        <f t="shared" si="2"/>
        <v>5</v>
      </c>
      <c r="F23" s="161">
        <f t="shared" si="2"/>
        <v>3</v>
      </c>
      <c r="G23" s="161">
        <f t="shared" si="2"/>
        <v>0</v>
      </c>
      <c r="H23" s="161">
        <f t="shared" si="2"/>
        <v>0</v>
      </c>
      <c r="I23" s="161">
        <f>SUM(B23:H23)</f>
        <v>56</v>
      </c>
      <c r="J23" s="164"/>
      <c r="K23" s="164"/>
      <c r="L23" s="164"/>
      <c r="M23" s="164"/>
      <c r="N23" s="164"/>
      <c r="O23" s="164"/>
      <c r="P23" s="164"/>
    </row>
    <row r="24" spans="1:20">
      <c r="A24" s="178" t="s">
        <v>125</v>
      </c>
      <c r="B24" s="179"/>
      <c r="C24" s="179"/>
      <c r="D24" s="177"/>
      <c r="E24" s="177"/>
      <c r="F24" s="177"/>
      <c r="G24" s="177"/>
      <c r="H24" s="177"/>
      <c r="I24" s="177"/>
      <c r="J24" s="164"/>
      <c r="K24" s="164">
        <f>45+26</f>
        <v>71</v>
      </c>
      <c r="L24" s="164"/>
      <c r="M24" s="164"/>
      <c r="N24" s="164"/>
      <c r="O24" s="164"/>
      <c r="P24" s="164"/>
    </row>
    <row r="25" spans="1:20">
      <c r="A25" s="180" t="s">
        <v>348</v>
      </c>
      <c r="B25" s="180"/>
      <c r="C25" s="180">
        <v>20</v>
      </c>
      <c r="D25" s="171">
        <v>15</v>
      </c>
      <c r="E25" s="171">
        <v>5</v>
      </c>
      <c r="F25" s="171">
        <v>5</v>
      </c>
      <c r="G25" s="171"/>
      <c r="H25" s="171"/>
      <c r="I25" s="171">
        <f t="shared" ref="I25" si="3">SUM(B25:H25)</f>
        <v>45</v>
      </c>
      <c r="J25" s="164"/>
      <c r="K25" s="164">
        <f>29+12</f>
        <v>41</v>
      </c>
      <c r="L25" s="164"/>
      <c r="M25" s="164">
        <f>I12+I23+I27+I31+I35</f>
        <v>705</v>
      </c>
      <c r="N25" s="164"/>
      <c r="O25" s="164"/>
      <c r="P25" s="164"/>
    </row>
    <row r="26" spans="1:20">
      <c r="A26" s="172"/>
      <c r="B26" s="181"/>
      <c r="C26" s="181"/>
      <c r="D26" s="177"/>
      <c r="E26" s="177"/>
      <c r="F26" s="177"/>
      <c r="G26" s="177"/>
      <c r="H26" s="177"/>
      <c r="I26" s="177"/>
      <c r="J26" s="164"/>
      <c r="K26" s="164">
        <f>SUM(K24:K25)</f>
        <v>112</v>
      </c>
      <c r="L26" s="164"/>
      <c r="M26" s="164">
        <f>I17+I34</f>
        <v>158</v>
      </c>
      <c r="N26" s="164">
        <f>20</f>
        <v>20</v>
      </c>
      <c r="O26" s="164">
        <f>M26-20</f>
        <v>138</v>
      </c>
      <c r="P26" s="164"/>
    </row>
    <row r="27" spans="1:20">
      <c r="A27" s="174" t="s">
        <v>6</v>
      </c>
      <c r="B27" s="161">
        <f t="shared" ref="B27:H27" si="4">SUM(B25:B26)</f>
        <v>0</v>
      </c>
      <c r="C27" s="161">
        <f t="shared" si="4"/>
        <v>20</v>
      </c>
      <c r="D27" s="161">
        <f t="shared" si="4"/>
        <v>15</v>
      </c>
      <c r="E27" s="161">
        <f t="shared" si="4"/>
        <v>5</v>
      </c>
      <c r="F27" s="161">
        <f t="shared" si="4"/>
        <v>5</v>
      </c>
      <c r="G27" s="161">
        <f t="shared" si="4"/>
        <v>0</v>
      </c>
      <c r="H27" s="161">
        <f t="shared" si="4"/>
        <v>0</v>
      </c>
      <c r="I27" s="161">
        <f>SUM(B27:H27)</f>
        <v>45</v>
      </c>
      <c r="J27" s="164"/>
      <c r="K27" s="164"/>
      <c r="L27" s="164"/>
      <c r="M27" s="164">
        <f>SUM(M25:M26)</f>
        <v>863</v>
      </c>
      <c r="N27" s="164"/>
      <c r="O27" s="164"/>
      <c r="P27" s="164"/>
    </row>
    <row r="28" spans="1:20">
      <c r="A28" s="178" t="s">
        <v>188</v>
      </c>
      <c r="B28" s="179"/>
      <c r="C28" s="179"/>
      <c r="D28" s="177"/>
      <c r="E28" s="177"/>
      <c r="F28" s="177"/>
      <c r="G28" s="177"/>
      <c r="H28" s="177"/>
      <c r="I28" s="177"/>
      <c r="J28" s="164"/>
      <c r="K28" s="164"/>
      <c r="L28" s="164"/>
      <c r="M28" s="164">
        <v>329</v>
      </c>
      <c r="N28" s="164"/>
      <c r="O28" s="164"/>
      <c r="P28" s="164"/>
    </row>
    <row r="29" spans="1:20">
      <c r="A29" s="180" t="s">
        <v>349</v>
      </c>
      <c r="B29" s="180"/>
      <c r="C29" s="180"/>
      <c r="D29" s="171"/>
      <c r="E29" s="171">
        <v>4</v>
      </c>
      <c r="F29" s="171">
        <v>6</v>
      </c>
      <c r="G29" s="171">
        <v>1</v>
      </c>
      <c r="H29" s="171"/>
      <c r="I29" s="171">
        <f t="shared" ref="I29" si="5">SUM(B29:H29)</f>
        <v>11</v>
      </c>
      <c r="J29" s="164"/>
      <c r="K29" s="164"/>
      <c r="L29" s="164"/>
      <c r="M29" s="164">
        <f>SUM(M27:M28)</f>
        <v>1192</v>
      </c>
      <c r="N29" s="164"/>
      <c r="O29" s="164"/>
      <c r="P29" s="164"/>
      <c r="Q29" s="143">
        <v>5</v>
      </c>
      <c r="R29" s="143">
        <f>SUM(I29:Q29)</f>
        <v>1208</v>
      </c>
    </row>
    <row r="30" spans="1:20">
      <c r="A30" s="172"/>
      <c r="B30" s="181"/>
      <c r="C30" s="181"/>
      <c r="D30" s="177"/>
      <c r="E30" s="177"/>
      <c r="F30" s="177"/>
      <c r="G30" s="177"/>
      <c r="H30" s="177"/>
      <c r="I30" s="177"/>
      <c r="J30" s="201"/>
      <c r="K30" s="202"/>
      <c r="L30" s="203"/>
      <c r="M30" s="164"/>
      <c r="N30" s="164"/>
      <c r="O30" s="164"/>
      <c r="P30" s="164"/>
    </row>
    <row r="31" spans="1:20">
      <c r="A31" s="174" t="s">
        <v>6</v>
      </c>
      <c r="B31" s="161">
        <f t="shared" ref="B31:H31" si="6">SUM(B29:B30)</f>
        <v>0</v>
      </c>
      <c r="C31" s="161">
        <f t="shared" si="6"/>
        <v>0</v>
      </c>
      <c r="D31" s="161">
        <f t="shared" si="6"/>
        <v>0</v>
      </c>
      <c r="E31" s="161">
        <f t="shared" si="6"/>
        <v>4</v>
      </c>
      <c r="F31" s="161">
        <f t="shared" si="6"/>
        <v>6</v>
      </c>
      <c r="G31" s="161">
        <f t="shared" si="6"/>
        <v>1</v>
      </c>
      <c r="H31" s="161">
        <f t="shared" si="6"/>
        <v>0</v>
      </c>
      <c r="I31" s="161">
        <f>SUM(B31:H31)</f>
        <v>11</v>
      </c>
      <c r="J31" s="204"/>
      <c r="K31" s="205" t="s">
        <v>44</v>
      </c>
      <c r="L31" s="206">
        <f>M10+M17</f>
        <v>159</v>
      </c>
      <c r="M31" s="164"/>
      <c r="N31" s="164"/>
      <c r="O31" s="164"/>
      <c r="P31" s="164"/>
    </row>
    <row r="32" spans="1:20">
      <c r="A32" s="178" t="s">
        <v>139</v>
      </c>
      <c r="B32" s="179"/>
      <c r="C32" s="179"/>
      <c r="D32" s="177"/>
      <c r="E32" s="177"/>
      <c r="F32" s="177"/>
      <c r="G32" s="177"/>
      <c r="H32" s="177"/>
      <c r="I32" s="177"/>
      <c r="J32" s="204"/>
      <c r="K32" s="205" t="s">
        <v>25</v>
      </c>
      <c r="L32" s="206">
        <f>L10+L17</f>
        <v>684</v>
      </c>
      <c r="M32" s="164">
        <f>20+1</f>
        <v>21</v>
      </c>
      <c r="N32" s="164"/>
      <c r="O32" s="164"/>
      <c r="P32" s="164"/>
    </row>
    <row r="33" spans="1:18">
      <c r="A33" s="180" t="s">
        <v>18</v>
      </c>
      <c r="B33" s="180"/>
      <c r="C33" s="180">
        <v>40</v>
      </c>
      <c r="D33" s="171">
        <f>6+2</f>
        <v>8</v>
      </c>
      <c r="E33" s="171">
        <v>14</v>
      </c>
      <c r="F33" s="171">
        <v>9</v>
      </c>
      <c r="G33" s="171"/>
      <c r="H33" s="171"/>
      <c r="I33" s="171">
        <f>SUM(B33:H33)</f>
        <v>71</v>
      </c>
      <c r="J33" s="204"/>
      <c r="K33" s="205" t="s">
        <v>350</v>
      </c>
      <c r="L33" s="206">
        <f>I39</f>
        <v>67</v>
      </c>
      <c r="M33" s="164"/>
      <c r="N33" s="164"/>
      <c r="O33" s="164"/>
      <c r="P33" s="164"/>
      <c r="Q33" s="143">
        <v>4</v>
      </c>
      <c r="R33" s="143">
        <f>SUM(I33:Q33)</f>
        <v>142</v>
      </c>
    </row>
    <row r="34" spans="1:18">
      <c r="A34" s="172" t="s">
        <v>351</v>
      </c>
      <c r="B34" s="181"/>
      <c r="C34" s="181">
        <v>12</v>
      </c>
      <c r="D34" s="177">
        <v>8</v>
      </c>
      <c r="E34" s="177"/>
      <c r="F34" s="177"/>
      <c r="G34" s="182"/>
      <c r="H34" s="182"/>
      <c r="I34" s="177">
        <f t="shared" ref="I34:I35" si="7">SUM(B34:H34)</f>
        <v>20</v>
      </c>
      <c r="J34" s="207"/>
      <c r="K34" s="208"/>
      <c r="L34" s="209">
        <f>SUM(L31:L33)</f>
        <v>910</v>
      </c>
      <c r="M34" s="164"/>
      <c r="N34" s="164"/>
      <c r="O34" s="164"/>
      <c r="P34" s="164"/>
    </row>
    <row r="35" spans="1:18">
      <c r="A35" s="174" t="s">
        <v>6</v>
      </c>
      <c r="B35" s="161">
        <f t="shared" ref="B35:H35" si="8">SUM(B33:B34)</f>
        <v>0</v>
      </c>
      <c r="C35" s="161">
        <f t="shared" si="8"/>
        <v>52</v>
      </c>
      <c r="D35" s="161">
        <f t="shared" si="8"/>
        <v>16</v>
      </c>
      <c r="E35" s="161">
        <f t="shared" si="8"/>
        <v>14</v>
      </c>
      <c r="F35" s="161">
        <f t="shared" si="8"/>
        <v>9</v>
      </c>
      <c r="G35" s="161">
        <f t="shared" si="8"/>
        <v>0</v>
      </c>
      <c r="H35" s="161">
        <f t="shared" si="8"/>
        <v>0</v>
      </c>
      <c r="I35" s="161">
        <f t="shared" si="7"/>
        <v>91</v>
      </c>
      <c r="J35" s="164"/>
      <c r="K35" s="164"/>
      <c r="L35" s="164"/>
      <c r="M35" s="164"/>
      <c r="N35" s="164"/>
      <c r="O35" s="164"/>
      <c r="P35" s="164"/>
    </row>
    <row r="36" spans="1:18">
      <c r="A36" s="179" t="s">
        <v>352</v>
      </c>
      <c r="B36" s="183"/>
      <c r="C36" s="183"/>
      <c r="D36" s="164"/>
      <c r="E36" s="164"/>
      <c r="F36" s="164"/>
      <c r="G36" s="164"/>
      <c r="H36" s="164"/>
      <c r="I36" s="177"/>
      <c r="J36" s="164"/>
      <c r="K36" s="164"/>
      <c r="L36" s="164"/>
      <c r="M36" s="164"/>
      <c r="N36" s="164"/>
      <c r="O36" s="164"/>
      <c r="P36" s="164"/>
    </row>
    <row r="37" spans="1:18">
      <c r="A37" s="780" t="s">
        <v>353</v>
      </c>
      <c r="B37" s="184"/>
      <c r="C37" s="184"/>
      <c r="D37" s="185"/>
      <c r="E37" s="185"/>
      <c r="F37" s="169"/>
      <c r="G37" s="169"/>
      <c r="H37" s="169"/>
      <c r="I37" s="169">
        <f>SUM(B37:H37)</f>
        <v>0</v>
      </c>
      <c r="J37" s="210"/>
      <c r="K37" s="210"/>
      <c r="L37" s="210"/>
      <c r="M37" s="210"/>
      <c r="N37" s="210"/>
      <c r="O37" s="210"/>
      <c r="P37" s="210"/>
      <c r="Q37" s="212"/>
    </row>
    <row r="38" spans="1:18">
      <c r="A38" s="781" t="s">
        <v>354</v>
      </c>
      <c r="B38" s="187"/>
      <c r="C38" s="187"/>
      <c r="D38" s="188">
        <f>21+23</f>
        <v>44</v>
      </c>
      <c r="E38" s="188">
        <v>23</v>
      </c>
      <c r="F38" s="161"/>
      <c r="G38" s="161"/>
      <c r="H38" s="161"/>
      <c r="I38" s="161">
        <f>SUM(B38:H38)</f>
        <v>67</v>
      </c>
      <c r="J38" s="164"/>
      <c r="K38" s="164"/>
      <c r="L38" s="164"/>
      <c r="M38" s="164"/>
      <c r="N38" s="164"/>
      <c r="O38" s="164"/>
      <c r="P38" s="164"/>
    </row>
    <row r="39" spans="1:18">
      <c r="A39" s="186"/>
      <c r="B39" s="189"/>
      <c r="C39" s="189"/>
      <c r="D39" s="190">
        <f>SUM(D37:D38)</f>
        <v>44</v>
      </c>
      <c r="E39" s="190">
        <f>SUM(E37:E38)</f>
        <v>23</v>
      </c>
      <c r="F39" s="161"/>
      <c r="G39" s="161"/>
      <c r="H39" s="161"/>
      <c r="I39" s="169">
        <f>SUM(B39:H39)</f>
        <v>67</v>
      </c>
      <c r="J39" s="164"/>
      <c r="K39" s="164"/>
      <c r="L39" s="164"/>
      <c r="M39" s="164"/>
      <c r="N39" s="164"/>
      <c r="O39" s="164"/>
      <c r="P39" s="164"/>
    </row>
    <row r="40" spans="1:18">
      <c r="A40" s="191" t="s">
        <v>159</v>
      </c>
      <c r="B40" s="191">
        <f t="shared" ref="B40:H40" si="9">SUM(B12,B17,B23,B27,B31,B35,B39)</f>
        <v>0</v>
      </c>
      <c r="C40" s="191">
        <f t="shared" si="9"/>
        <v>275</v>
      </c>
      <c r="D40" s="191">
        <f t="shared" si="9"/>
        <v>279</v>
      </c>
      <c r="E40" s="191">
        <f t="shared" si="9"/>
        <v>214</v>
      </c>
      <c r="F40" s="191">
        <f t="shared" si="9"/>
        <v>133</v>
      </c>
      <c r="G40" s="191">
        <f t="shared" si="9"/>
        <v>9</v>
      </c>
      <c r="H40" s="191">
        <f t="shared" si="9"/>
        <v>0</v>
      </c>
      <c r="I40" s="161">
        <f>SUM(B40:H40)</f>
        <v>910</v>
      </c>
      <c r="J40" s="177">
        <v>46</v>
      </c>
      <c r="K40" s="177">
        <f>27+44+8+33+39+45</f>
        <v>196</v>
      </c>
      <c r="L40" s="177"/>
      <c r="M40" s="177"/>
      <c r="N40" s="177"/>
      <c r="O40" s="177"/>
      <c r="P40" s="177"/>
      <c r="Q40" s="213">
        <f>SUM(Q7:Q39)</f>
        <v>92</v>
      </c>
      <c r="R40" s="214">
        <f>SUM(I40:Q40)</f>
        <v>1244</v>
      </c>
    </row>
    <row r="41" spans="1:18">
      <c r="E41" s="185" t="s">
        <v>355</v>
      </c>
      <c r="F41" s="169" t="s">
        <v>356</v>
      </c>
      <c r="G41" s="158" t="s">
        <v>6</v>
      </c>
      <c r="K41" s="158">
        <f>5+5+21+20</f>
        <v>51</v>
      </c>
    </row>
    <row r="42" spans="1:18">
      <c r="A42" s="192" t="s">
        <v>12</v>
      </c>
      <c r="B42" s="192"/>
      <c r="C42" s="192"/>
      <c r="D42" s="161">
        <f>I39</f>
        <v>67</v>
      </c>
      <c r="E42" s="161">
        <f>D42</f>
        <v>67</v>
      </c>
      <c r="F42" s="161"/>
      <c r="G42" s="161">
        <f>SUM(E42:F42)</f>
        <v>67</v>
      </c>
      <c r="J42" s="158">
        <f>I40+J40</f>
        <v>956</v>
      </c>
      <c r="K42" s="158">
        <f>27+5+6+38+19+6+39+5+21</f>
        <v>166</v>
      </c>
    </row>
    <row r="43" spans="1:18">
      <c r="A43" s="192" t="s">
        <v>25</v>
      </c>
      <c r="B43" s="192"/>
      <c r="C43" s="192"/>
      <c r="D43" s="161">
        <f>I40-(I39+D44)</f>
        <v>684</v>
      </c>
      <c r="E43" s="161">
        <f>L10</f>
        <v>618</v>
      </c>
      <c r="F43" s="161">
        <f>L17</f>
        <v>66</v>
      </c>
      <c r="G43" s="161">
        <f>SUM(E43:F43)</f>
        <v>684</v>
      </c>
      <c r="K43" s="158">
        <v>2</v>
      </c>
    </row>
    <row r="44" spans="1:18">
      <c r="A44" s="192" t="s">
        <v>169</v>
      </c>
      <c r="B44" s="192"/>
      <c r="C44" s="192"/>
      <c r="D44" s="161">
        <f>I17+I21+I34</f>
        <v>159</v>
      </c>
      <c r="E44" s="161">
        <f>M10</f>
        <v>158</v>
      </c>
      <c r="F44" s="161">
        <f>M17</f>
        <v>1</v>
      </c>
      <c r="G44" s="161">
        <f>SUM(E44:F44)</f>
        <v>159</v>
      </c>
      <c r="K44" s="158">
        <f>9+14+10+14+40</f>
        <v>87</v>
      </c>
    </row>
    <row r="45" spans="1:18">
      <c r="A45" s="193" t="s">
        <v>6</v>
      </c>
      <c r="B45" s="193"/>
      <c r="C45" s="193"/>
      <c r="D45" s="161">
        <f>SUM(D42:D44)</f>
        <v>910</v>
      </c>
      <c r="E45" s="161"/>
      <c r="F45" s="161"/>
      <c r="G45" s="161">
        <f>SUM(G42:G44)</f>
        <v>910</v>
      </c>
      <c r="K45" s="158">
        <f>5+7+8</f>
        <v>20</v>
      </c>
    </row>
    <row r="46" spans="1:18">
      <c r="K46" s="158">
        <f>1+5+1+1</f>
        <v>8</v>
      </c>
    </row>
    <row r="47" spans="1:18">
      <c r="A47" s="194" t="s">
        <v>363</v>
      </c>
      <c r="K47" s="158">
        <f>23+34+18+37</f>
        <v>112</v>
      </c>
    </row>
    <row r="48" spans="1:18">
      <c r="K48" s="158">
        <f>20+25</f>
        <v>45</v>
      </c>
    </row>
    <row r="49" spans="11:11">
      <c r="K49" s="158">
        <v>40</v>
      </c>
    </row>
    <row r="50" spans="11:11">
      <c r="K50" s="158">
        <v>27</v>
      </c>
    </row>
    <row r="51" spans="11:11">
      <c r="K51" s="158">
        <f>9+10+15+12+4+15</f>
        <v>65</v>
      </c>
    </row>
    <row r="52" spans="11:11">
      <c r="K52" s="158">
        <f>19+13</f>
        <v>32</v>
      </c>
    </row>
    <row r="53" spans="11:11">
      <c r="K53" s="158">
        <f>6+18+12+13</f>
        <v>49</v>
      </c>
    </row>
    <row r="54" spans="11:11">
      <c r="K54" s="158">
        <v>1</v>
      </c>
    </row>
    <row r="55" spans="11:11">
      <c r="K55" s="158">
        <f>8+12</f>
        <v>20</v>
      </c>
    </row>
    <row r="56" spans="11:11">
      <c r="K56" s="158">
        <f>23+22+202</f>
        <v>247</v>
      </c>
    </row>
    <row r="57" spans="11:11">
      <c r="K57" s="158">
        <f>SUM(K40:K56)</f>
        <v>1168</v>
      </c>
    </row>
  </sheetData>
  <mergeCells count="2">
    <mergeCell ref="A1:I1"/>
    <mergeCell ref="A3:A4"/>
  </mergeCells>
  <printOptions horizontalCentered="1"/>
  <pageMargins left="0.48" right="0.56999999999999995" top="0.98425196850393704" bottom="0.98425196850393704" header="0.511811023622047" footer="0.511811023622047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3" zoomScale="130" zoomScaleNormal="130" workbookViewId="0">
      <selection activeCell="F26" sqref="F26"/>
    </sheetView>
  </sheetViews>
  <sheetFormatPr defaultColWidth="9.140625" defaultRowHeight="21"/>
  <cols>
    <col min="1" max="1" width="18.85546875" style="3" customWidth="1"/>
    <col min="2" max="16384" width="9.140625" style="3"/>
  </cols>
  <sheetData>
    <row r="1" spans="1:8" ht="23.25">
      <c r="A1" s="900" t="s">
        <v>364</v>
      </c>
      <c r="B1" s="901"/>
      <c r="C1" s="901"/>
      <c r="D1" s="901"/>
      <c r="E1" s="901"/>
      <c r="F1" s="901"/>
      <c r="G1" s="901"/>
      <c r="H1" s="902"/>
    </row>
    <row r="2" spans="1:8" ht="23.25">
      <c r="A2" s="903" t="s">
        <v>365</v>
      </c>
      <c r="B2" s="904"/>
      <c r="C2" s="904"/>
      <c r="D2" s="904"/>
      <c r="E2" s="904"/>
      <c r="F2" s="904"/>
      <c r="G2" s="904"/>
      <c r="H2" s="905"/>
    </row>
    <row r="4" spans="1:8" s="2" customFormat="1">
      <c r="A4" s="907" t="s">
        <v>3</v>
      </c>
      <c r="B4" s="906" t="s">
        <v>366</v>
      </c>
      <c r="C4" s="906"/>
      <c r="D4" s="906"/>
      <c r="E4" s="906"/>
      <c r="F4" s="906"/>
      <c r="G4" s="906"/>
      <c r="H4" s="906"/>
    </row>
    <row r="5" spans="1:8" s="2" customFormat="1">
      <c r="A5" s="907"/>
      <c r="B5" s="10">
        <v>2555</v>
      </c>
      <c r="C5" s="30">
        <v>2556</v>
      </c>
      <c r="D5" s="10">
        <v>2557</v>
      </c>
      <c r="E5" s="10">
        <v>2558</v>
      </c>
      <c r="F5" s="10">
        <v>2559</v>
      </c>
      <c r="G5" s="10">
        <v>2560</v>
      </c>
      <c r="H5" s="10">
        <v>2561</v>
      </c>
    </row>
    <row r="6" spans="1:8">
      <c r="A6" s="31" t="s">
        <v>367</v>
      </c>
      <c r="B6" s="31">
        <v>31</v>
      </c>
      <c r="C6" s="32">
        <v>27</v>
      </c>
      <c r="D6" s="31">
        <v>25</v>
      </c>
      <c r="E6" s="31">
        <v>25</v>
      </c>
      <c r="F6" s="31">
        <v>25</v>
      </c>
      <c r="G6" s="31">
        <v>25</v>
      </c>
      <c r="H6" s="31">
        <v>25</v>
      </c>
    </row>
    <row r="7" spans="1:8">
      <c r="A7" s="15" t="s">
        <v>368</v>
      </c>
      <c r="B7" s="15">
        <v>24</v>
      </c>
      <c r="C7" s="33">
        <v>30</v>
      </c>
      <c r="D7" s="15">
        <v>27</v>
      </c>
      <c r="E7" s="15">
        <v>25</v>
      </c>
      <c r="F7" s="15">
        <v>25</v>
      </c>
      <c r="G7" s="15">
        <v>25</v>
      </c>
      <c r="H7" s="15">
        <v>25</v>
      </c>
    </row>
    <row r="8" spans="1:8">
      <c r="A8" s="15" t="s">
        <v>369</v>
      </c>
      <c r="B8" s="15">
        <v>19</v>
      </c>
      <c r="C8" s="33">
        <v>23</v>
      </c>
      <c r="D8" s="15">
        <v>30</v>
      </c>
      <c r="E8" s="15">
        <v>25</v>
      </c>
      <c r="F8" s="15">
        <v>25</v>
      </c>
      <c r="G8" s="15">
        <v>25</v>
      </c>
      <c r="H8" s="15">
        <v>25</v>
      </c>
    </row>
    <row r="9" spans="1:8">
      <c r="A9" s="15" t="s">
        <v>370</v>
      </c>
      <c r="B9" s="15"/>
      <c r="C9" s="33">
        <v>24</v>
      </c>
      <c r="D9" s="15">
        <v>23</v>
      </c>
      <c r="E9" s="15">
        <v>31</v>
      </c>
      <c r="F9" s="15">
        <v>25</v>
      </c>
      <c r="G9" s="15">
        <v>25</v>
      </c>
      <c r="H9" s="15">
        <v>25</v>
      </c>
    </row>
    <row r="10" spans="1:8">
      <c r="A10" s="15" t="s">
        <v>371</v>
      </c>
      <c r="B10" s="15"/>
      <c r="C10" s="33"/>
      <c r="D10" s="15">
        <v>24</v>
      </c>
      <c r="E10" s="15">
        <v>24</v>
      </c>
      <c r="F10" s="15">
        <v>31</v>
      </c>
      <c r="G10" s="15">
        <v>25</v>
      </c>
      <c r="H10" s="15">
        <v>25</v>
      </c>
    </row>
    <row r="11" spans="1:8">
      <c r="A11" s="15" t="s">
        <v>372</v>
      </c>
      <c r="B11" s="15"/>
      <c r="C11" s="33"/>
      <c r="D11" s="15"/>
      <c r="E11" s="15">
        <v>19</v>
      </c>
      <c r="F11" s="15">
        <v>24</v>
      </c>
      <c r="G11" s="15">
        <v>31</v>
      </c>
      <c r="H11" s="15">
        <v>25</v>
      </c>
    </row>
    <row r="12" spans="1:8">
      <c r="A12" s="15" t="s">
        <v>373</v>
      </c>
      <c r="B12" s="15"/>
      <c r="C12" s="33"/>
      <c r="D12" s="15"/>
      <c r="E12" s="15"/>
      <c r="F12" s="15">
        <v>19</v>
      </c>
      <c r="G12" s="15">
        <v>24</v>
      </c>
      <c r="H12" s="15">
        <v>31</v>
      </c>
    </row>
    <row r="13" spans="1:8">
      <c r="A13" s="15" t="s">
        <v>374</v>
      </c>
      <c r="B13" s="15"/>
      <c r="C13" s="33"/>
      <c r="D13" s="15"/>
      <c r="E13" s="15"/>
      <c r="F13" s="15"/>
      <c r="G13" s="15">
        <v>19</v>
      </c>
      <c r="H13" s="15">
        <v>24</v>
      </c>
    </row>
    <row r="14" spans="1:8">
      <c r="A14" s="34" t="s">
        <v>375</v>
      </c>
      <c r="B14" s="34"/>
      <c r="C14" s="35"/>
      <c r="D14" s="34"/>
      <c r="E14" s="34"/>
      <c r="F14" s="34"/>
      <c r="G14" s="34"/>
      <c r="H14" s="34">
        <v>19</v>
      </c>
    </row>
    <row r="15" spans="1:8">
      <c r="A15" s="10" t="s">
        <v>6</v>
      </c>
      <c r="B15" s="36">
        <f>SUM(B6:B14)</f>
        <v>74</v>
      </c>
      <c r="C15" s="37">
        <f t="shared" ref="C15:H15" si="0">SUM(C6:C14)</f>
        <v>104</v>
      </c>
      <c r="D15" s="36">
        <f t="shared" si="0"/>
        <v>129</v>
      </c>
      <c r="E15" s="36">
        <f t="shared" si="0"/>
        <v>149</v>
      </c>
      <c r="F15" s="36">
        <f t="shared" si="0"/>
        <v>174</v>
      </c>
      <c r="G15" s="36">
        <f t="shared" si="0"/>
        <v>199</v>
      </c>
      <c r="H15" s="36">
        <f t="shared" si="0"/>
        <v>224</v>
      </c>
    </row>
    <row r="16" spans="1:8">
      <c r="C16" s="38">
        <v>24</v>
      </c>
      <c r="D16" s="3" t="s">
        <v>376</v>
      </c>
    </row>
    <row r="17" spans="1:4">
      <c r="C17" s="38">
        <f>C15-C16</f>
        <v>80</v>
      </c>
      <c r="D17" s="3" t="s">
        <v>377</v>
      </c>
    </row>
    <row r="18" spans="1:4">
      <c r="C18" s="38">
        <f>SUM(C16:C17)</f>
        <v>104</v>
      </c>
      <c r="D18" s="3" t="s">
        <v>6</v>
      </c>
    </row>
    <row r="19" spans="1:4">
      <c r="A19" s="157" t="s">
        <v>378</v>
      </c>
    </row>
    <row r="20" spans="1:4">
      <c r="A20" s="157" t="s">
        <v>379</v>
      </c>
    </row>
  </sheetData>
  <mergeCells count="4">
    <mergeCell ref="A1:H1"/>
    <mergeCell ref="A2:H2"/>
    <mergeCell ref="B4:H4"/>
    <mergeCell ref="A4:A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opLeftCell="A7" workbookViewId="0">
      <selection activeCell="G107" sqref="G107"/>
    </sheetView>
  </sheetViews>
  <sheetFormatPr defaultColWidth="9" defaultRowHeight="21"/>
  <cols>
    <col min="1" max="1" width="28.140625" style="105" customWidth="1"/>
    <col min="2" max="7" width="10.85546875" style="106" customWidth="1"/>
    <col min="8" max="8" width="9" hidden="1" customWidth="1"/>
    <col min="9" max="9" width="34.28515625" hidden="1" customWidth="1"/>
    <col min="10" max="15" width="9" hidden="1" customWidth="1"/>
    <col min="16" max="16" width="28.140625" style="105" customWidth="1"/>
    <col min="17" max="22" width="10.85546875" style="106" customWidth="1"/>
  </cols>
  <sheetData>
    <row r="1" spans="1:22" ht="26.25">
      <c r="A1" s="908" t="s">
        <v>380</v>
      </c>
      <c r="B1" s="909"/>
      <c r="C1" s="909"/>
      <c r="D1" s="909"/>
      <c r="E1" s="909"/>
      <c r="F1" s="909"/>
      <c r="G1" s="910"/>
      <c r="P1" s="908" t="s">
        <v>381</v>
      </c>
      <c r="Q1" s="909"/>
      <c r="R1" s="909"/>
      <c r="S1" s="909"/>
      <c r="T1" s="909"/>
      <c r="U1" s="909"/>
      <c r="V1" s="910"/>
    </row>
    <row r="2" spans="1:22" ht="26.25">
      <c r="A2" s="911" t="s">
        <v>382</v>
      </c>
      <c r="B2" s="912"/>
      <c r="C2" s="912"/>
      <c r="D2" s="912"/>
      <c r="E2" s="912"/>
      <c r="F2" s="912"/>
      <c r="G2" s="913"/>
      <c r="P2" s="911" t="s">
        <v>382</v>
      </c>
      <c r="Q2" s="912"/>
      <c r="R2" s="912"/>
      <c r="S2" s="912"/>
      <c r="T2" s="912"/>
      <c r="U2" s="912"/>
      <c r="V2" s="913"/>
    </row>
    <row r="3" spans="1:22">
      <c r="A3" s="107"/>
      <c r="B3" s="108"/>
      <c r="C3" s="108"/>
      <c r="D3" s="108"/>
      <c r="E3" s="108"/>
      <c r="F3" s="108"/>
      <c r="G3" s="108"/>
      <c r="P3" s="107"/>
      <c r="Q3" s="108"/>
      <c r="R3" s="108"/>
      <c r="S3" s="108"/>
      <c r="T3" s="108"/>
      <c r="U3" s="108"/>
      <c r="V3" s="108"/>
    </row>
    <row r="4" spans="1:22" ht="23.25">
      <c r="A4" s="914" t="s">
        <v>383</v>
      </c>
      <c r="B4" s="915"/>
      <c r="C4" s="915"/>
      <c r="D4" s="915"/>
      <c r="E4" s="915"/>
      <c r="F4" s="915"/>
      <c r="G4" s="916"/>
      <c r="P4" s="914" t="s">
        <v>383</v>
      </c>
      <c r="Q4" s="915"/>
      <c r="R4" s="915"/>
      <c r="S4" s="915"/>
      <c r="T4" s="915"/>
      <c r="U4" s="915"/>
      <c r="V4" s="916"/>
    </row>
    <row r="5" spans="1:22" s="142" customFormat="1">
      <c r="A5" s="107"/>
      <c r="B5" s="108"/>
      <c r="C5" s="108"/>
      <c r="D5" s="108"/>
      <c r="E5" s="108"/>
      <c r="F5" s="108"/>
      <c r="G5" s="108"/>
      <c r="P5" s="107"/>
      <c r="Q5" s="108"/>
      <c r="R5" s="108"/>
      <c r="S5" s="108"/>
      <c r="T5" s="108"/>
      <c r="U5" s="108"/>
      <c r="V5" s="108"/>
    </row>
    <row r="6" spans="1:22" s="142" customFormat="1">
      <c r="A6" s="805" t="s">
        <v>38</v>
      </c>
      <c r="B6" s="798" t="s">
        <v>39</v>
      </c>
      <c r="C6" s="798"/>
      <c r="D6" s="798"/>
      <c r="E6" s="798"/>
      <c r="F6" s="798"/>
      <c r="G6" s="807" t="s">
        <v>6</v>
      </c>
      <c r="P6" s="805" t="s">
        <v>38</v>
      </c>
      <c r="Q6" s="798" t="s">
        <v>39</v>
      </c>
      <c r="R6" s="798"/>
      <c r="S6" s="798"/>
      <c r="T6" s="798"/>
      <c r="U6" s="798"/>
      <c r="V6" s="807" t="s">
        <v>6</v>
      </c>
    </row>
    <row r="7" spans="1:22" s="142" customFormat="1">
      <c r="A7" s="806"/>
      <c r="B7" s="144" t="s">
        <v>41</v>
      </c>
      <c r="C7" s="110" t="s">
        <v>42</v>
      </c>
      <c r="D7" s="110" t="s">
        <v>43</v>
      </c>
      <c r="E7" s="110" t="s">
        <v>25</v>
      </c>
      <c r="F7" s="110" t="s">
        <v>44</v>
      </c>
      <c r="G7" s="808"/>
      <c r="P7" s="806"/>
      <c r="Q7" s="144" t="s">
        <v>41</v>
      </c>
      <c r="R7" s="110" t="s">
        <v>42</v>
      </c>
      <c r="S7" s="110" t="s">
        <v>43</v>
      </c>
      <c r="T7" s="110" t="s">
        <v>25</v>
      </c>
      <c r="U7" s="110" t="s">
        <v>44</v>
      </c>
      <c r="V7" s="808"/>
    </row>
    <row r="8" spans="1:22" s="143" customFormat="1">
      <c r="A8" s="126" t="s">
        <v>46</v>
      </c>
      <c r="B8" s="127"/>
      <c r="C8" s="127"/>
      <c r="D8" s="127">
        <v>3912</v>
      </c>
      <c r="E8" s="127"/>
      <c r="F8" s="127">
        <v>35</v>
      </c>
      <c r="G8" s="127">
        <f t="shared" ref="G8:G16" si="0">SUM(B8:F8)</f>
        <v>3947</v>
      </c>
      <c r="P8" s="126" t="s">
        <v>46</v>
      </c>
      <c r="Q8" s="117">
        <v>326</v>
      </c>
      <c r="R8" s="117"/>
      <c r="S8" s="117">
        <f>1072-Q8</f>
        <v>746</v>
      </c>
      <c r="T8" s="117">
        <v>1250</v>
      </c>
      <c r="U8" s="117">
        <v>172</v>
      </c>
      <c r="V8" s="127">
        <f t="shared" ref="V8:V16" si="1">SUM(Q8:U8)</f>
        <v>2494</v>
      </c>
    </row>
    <row r="9" spans="1:22" s="143" customFormat="1">
      <c r="A9" s="126" t="s">
        <v>48</v>
      </c>
      <c r="B9" s="127"/>
      <c r="C9" s="127">
        <v>1740</v>
      </c>
      <c r="D9" s="127"/>
      <c r="E9" s="127"/>
      <c r="F9" s="127"/>
      <c r="G9" s="127">
        <f t="shared" si="0"/>
        <v>1740</v>
      </c>
      <c r="P9" s="126" t="s">
        <v>48</v>
      </c>
      <c r="Q9" s="127"/>
      <c r="R9" s="127">
        <v>599</v>
      </c>
      <c r="S9" s="127"/>
      <c r="T9" s="127">
        <v>59</v>
      </c>
      <c r="U9" s="127"/>
      <c r="V9" s="127">
        <f t="shared" si="1"/>
        <v>658</v>
      </c>
    </row>
    <row r="10" spans="1:22" s="143" customFormat="1">
      <c r="A10" s="126" t="s">
        <v>50</v>
      </c>
      <c r="B10" s="127">
        <v>345</v>
      </c>
      <c r="C10" s="127">
        <v>1981</v>
      </c>
      <c r="D10" s="127"/>
      <c r="E10" s="127">
        <v>2</v>
      </c>
      <c r="F10" s="127"/>
      <c r="G10" s="127">
        <f t="shared" si="0"/>
        <v>2328</v>
      </c>
      <c r="P10" s="126" t="s">
        <v>50</v>
      </c>
      <c r="Q10" s="127">
        <f>35+150+236+142+64</f>
        <v>627</v>
      </c>
      <c r="R10" s="127">
        <f>448+5</f>
        <v>453</v>
      </c>
      <c r="S10" s="127"/>
      <c r="T10" s="127">
        <v>131</v>
      </c>
      <c r="U10" s="127">
        <v>20</v>
      </c>
      <c r="V10" s="127">
        <f t="shared" si="1"/>
        <v>1231</v>
      </c>
    </row>
    <row r="11" spans="1:22" s="143" customFormat="1">
      <c r="A11" s="49" t="s">
        <v>384</v>
      </c>
      <c r="B11" s="49">
        <f>SUM(B8:B10)</f>
        <v>345</v>
      </c>
      <c r="C11" s="49">
        <f>SUM(C8:C10)</f>
        <v>3721</v>
      </c>
      <c r="D11" s="49">
        <f>SUM(D8:D10)</f>
        <v>3912</v>
      </c>
      <c r="E11" s="49">
        <f>SUM(E8:E10)</f>
        <v>2</v>
      </c>
      <c r="F11" s="49">
        <f>SUM(F8:F10)</f>
        <v>35</v>
      </c>
      <c r="G11" s="49">
        <f t="shared" si="0"/>
        <v>8015</v>
      </c>
      <c r="J11" s="153">
        <f>B11+C11+D11</f>
        <v>7978</v>
      </c>
      <c r="P11" s="49" t="s">
        <v>384</v>
      </c>
      <c r="Q11" s="49">
        <f>SUM(Q8:Q10)</f>
        <v>953</v>
      </c>
      <c r="R11" s="49">
        <f>SUM(R8:R10)</f>
        <v>1052</v>
      </c>
      <c r="S11" s="49">
        <f>SUM(S8:S10)</f>
        <v>746</v>
      </c>
      <c r="T11" s="49">
        <f>SUM(T8:T10)</f>
        <v>1440</v>
      </c>
      <c r="U11" s="49">
        <f>SUM(U8:U10)</f>
        <v>192</v>
      </c>
      <c r="V11" s="49">
        <f t="shared" si="1"/>
        <v>4383</v>
      </c>
    </row>
    <row r="12" spans="1:22" s="143" customFormat="1">
      <c r="A12" s="126" t="s">
        <v>53</v>
      </c>
      <c r="B12" s="127"/>
      <c r="C12" s="127">
        <v>1713</v>
      </c>
      <c r="D12" s="127"/>
      <c r="E12" s="127">
        <v>9</v>
      </c>
      <c r="F12" s="127">
        <v>3</v>
      </c>
      <c r="G12" s="127">
        <f t="shared" si="0"/>
        <v>1725</v>
      </c>
      <c r="J12" s="153">
        <f>B15+C15</f>
        <v>3608</v>
      </c>
      <c r="P12" s="126" t="s">
        <v>53</v>
      </c>
      <c r="Q12" s="127"/>
      <c r="R12" s="127">
        <v>55</v>
      </c>
      <c r="S12" s="127"/>
      <c r="T12" s="127">
        <v>59</v>
      </c>
      <c r="U12" s="127">
        <v>1</v>
      </c>
      <c r="V12" s="127">
        <f t="shared" si="1"/>
        <v>115</v>
      </c>
    </row>
    <row r="13" spans="1:22" s="143" customFormat="1">
      <c r="A13" s="126" t="s">
        <v>55</v>
      </c>
      <c r="B13" s="127"/>
      <c r="C13" s="127">
        <v>749</v>
      </c>
      <c r="D13" s="127"/>
      <c r="E13" s="127"/>
      <c r="F13" s="127"/>
      <c r="G13" s="127">
        <f t="shared" si="0"/>
        <v>749</v>
      </c>
      <c r="J13" s="153"/>
      <c r="P13" s="126" t="s">
        <v>55</v>
      </c>
      <c r="Q13" s="127"/>
      <c r="R13" s="127">
        <v>12</v>
      </c>
      <c r="S13" s="127"/>
      <c r="T13" s="127"/>
      <c r="U13" s="127"/>
      <c r="V13" s="127">
        <f t="shared" si="1"/>
        <v>12</v>
      </c>
    </row>
    <row r="14" spans="1:22" s="143" customFormat="1">
      <c r="A14" s="126" t="s">
        <v>57</v>
      </c>
      <c r="B14" s="127">
        <v>224</v>
      </c>
      <c r="C14" s="127">
        <v>922</v>
      </c>
      <c r="D14" s="127"/>
      <c r="E14" s="127">
        <v>5</v>
      </c>
      <c r="F14" s="127"/>
      <c r="G14" s="127">
        <f t="shared" si="0"/>
        <v>1151</v>
      </c>
      <c r="P14" s="126" t="s">
        <v>57</v>
      </c>
      <c r="Q14" s="127">
        <f>23+84+13+71+20</f>
        <v>211</v>
      </c>
      <c r="R14" s="127">
        <f>18+14+19+63</f>
        <v>114</v>
      </c>
      <c r="S14" s="127"/>
      <c r="T14" s="127">
        <v>22</v>
      </c>
      <c r="U14" s="127"/>
      <c r="V14" s="127">
        <f t="shared" si="1"/>
        <v>347</v>
      </c>
    </row>
    <row r="15" spans="1:22" s="143" customFormat="1">
      <c r="A15" s="145" t="s">
        <v>385</v>
      </c>
      <c r="B15" s="146">
        <f>SUM(B12:B14)</f>
        <v>224</v>
      </c>
      <c r="C15" s="146">
        <f t="shared" ref="C15:F15" si="2">SUM(C12:C14)</f>
        <v>3384</v>
      </c>
      <c r="D15" s="146">
        <f t="shared" si="2"/>
        <v>0</v>
      </c>
      <c r="E15" s="146">
        <f t="shared" si="2"/>
        <v>14</v>
      </c>
      <c r="F15" s="146">
        <f t="shared" si="2"/>
        <v>3</v>
      </c>
      <c r="G15" s="147">
        <f t="shared" si="0"/>
        <v>3625</v>
      </c>
      <c r="P15" s="145" t="s">
        <v>385</v>
      </c>
      <c r="Q15" s="146">
        <f>SUM(Q12:Q14)</f>
        <v>211</v>
      </c>
      <c r="R15" s="146">
        <f t="shared" ref="R15:U15" si="3">SUM(R12:R14)</f>
        <v>181</v>
      </c>
      <c r="S15" s="146">
        <f t="shared" si="3"/>
        <v>0</v>
      </c>
      <c r="T15" s="146">
        <f t="shared" si="3"/>
        <v>81</v>
      </c>
      <c r="U15" s="146">
        <f t="shared" si="3"/>
        <v>1</v>
      </c>
      <c r="V15" s="147">
        <f t="shared" si="1"/>
        <v>474</v>
      </c>
    </row>
    <row r="16" spans="1:22" s="143" customFormat="1">
      <c r="A16" s="148" t="s">
        <v>21</v>
      </c>
      <c r="B16" s="149">
        <f>SUM(B11,B15)</f>
        <v>569</v>
      </c>
      <c r="C16" s="149">
        <f>SUM(C11,C15)</f>
        <v>7105</v>
      </c>
      <c r="D16" s="149">
        <f>SUM(D11,D15)</f>
        <v>3912</v>
      </c>
      <c r="E16" s="149">
        <f>SUM(E11,E15)</f>
        <v>16</v>
      </c>
      <c r="F16" s="149">
        <f>SUM(F11,F15)</f>
        <v>38</v>
      </c>
      <c r="G16" s="149">
        <f t="shared" si="0"/>
        <v>11640</v>
      </c>
      <c r="P16" s="148" t="s">
        <v>21</v>
      </c>
      <c r="Q16" s="149">
        <f>SUM(Q11,Q15)</f>
        <v>1164</v>
      </c>
      <c r="R16" s="149">
        <f>SUM(R11,R15)</f>
        <v>1233</v>
      </c>
      <c r="S16" s="149">
        <f>SUM(S11,S15)</f>
        <v>746</v>
      </c>
      <c r="T16" s="149">
        <f>SUM(T11,T15)</f>
        <v>1521</v>
      </c>
      <c r="U16" s="149">
        <f>SUM(U11,U15)</f>
        <v>193</v>
      </c>
      <c r="V16" s="149">
        <f t="shared" si="1"/>
        <v>4857</v>
      </c>
    </row>
    <row r="17" spans="1:22">
      <c r="A17" s="120"/>
      <c r="B17" s="150"/>
      <c r="C17" s="151">
        <f>B16+C16+D16</f>
        <v>11586</v>
      </c>
      <c r="D17" s="152"/>
      <c r="E17" s="150"/>
      <c r="F17" s="152">
        <f>E16+F16</f>
        <v>54</v>
      </c>
      <c r="G17" s="121"/>
      <c r="I17" s="917" t="s">
        <v>386</v>
      </c>
      <c r="J17" s="917"/>
      <c r="K17" s="917"/>
      <c r="L17" s="917"/>
      <c r="M17" s="917"/>
      <c r="N17" s="917"/>
      <c r="O17" s="917"/>
      <c r="P17" s="120"/>
      <c r="Q17" s="150"/>
      <c r="R17" s="151">
        <f>Q16+R16+S16</f>
        <v>3143</v>
      </c>
      <c r="S17" s="152"/>
      <c r="T17" s="150"/>
      <c r="U17" s="152">
        <f>T16+U16</f>
        <v>1714</v>
      </c>
      <c r="V17" s="121"/>
    </row>
    <row r="18" spans="1:22" s="143" customFormat="1" hidden="1">
      <c r="A18" s="136"/>
      <c r="B18" s="88"/>
      <c r="C18" s="88"/>
      <c r="D18" s="88"/>
      <c r="E18" s="88"/>
      <c r="F18" s="88"/>
      <c r="G18" s="88"/>
      <c r="H18" s="153">
        <f>E16+F16</f>
        <v>54</v>
      </c>
      <c r="I18" s="109" t="s">
        <v>38</v>
      </c>
      <c r="J18" s="918" t="s">
        <v>39</v>
      </c>
      <c r="K18" s="919"/>
      <c r="L18" s="919"/>
      <c r="M18" s="919"/>
      <c r="N18" s="920"/>
      <c r="O18" s="111" t="s">
        <v>6</v>
      </c>
      <c r="P18" s="136"/>
      <c r="Q18" s="88"/>
      <c r="R18" s="88"/>
      <c r="S18" s="88"/>
      <c r="T18" s="88"/>
      <c r="U18" s="88"/>
      <c r="V18" s="88"/>
    </row>
    <row r="19" spans="1:22" s="143" customFormat="1" hidden="1">
      <c r="A19" s="794" t="s">
        <v>387</v>
      </c>
      <c r="B19" s="794"/>
      <c r="C19" s="794"/>
      <c r="D19" s="794"/>
      <c r="E19" s="794"/>
      <c r="F19" s="794"/>
      <c r="G19" s="794"/>
      <c r="I19" s="112"/>
      <c r="J19" s="113" t="s">
        <v>41</v>
      </c>
      <c r="K19" s="110" t="s">
        <v>42</v>
      </c>
      <c r="L19" s="110" t="s">
        <v>43</v>
      </c>
      <c r="M19" s="110" t="s">
        <v>25</v>
      </c>
      <c r="N19" s="110" t="s">
        <v>44</v>
      </c>
      <c r="O19" s="114"/>
      <c r="P19" s="794" t="s">
        <v>387</v>
      </c>
      <c r="Q19" s="794"/>
      <c r="R19" s="794"/>
      <c r="S19" s="794"/>
      <c r="T19" s="794"/>
      <c r="U19" s="794"/>
      <c r="V19" s="794"/>
    </row>
    <row r="20" spans="1:22" s="143" customFormat="1" hidden="1">
      <c r="A20" s="805" t="s">
        <v>38</v>
      </c>
      <c r="B20" s="798" t="s">
        <v>39</v>
      </c>
      <c r="C20" s="798"/>
      <c r="D20" s="798"/>
      <c r="E20" s="798"/>
      <c r="F20" s="798"/>
      <c r="G20" s="807" t="s">
        <v>6</v>
      </c>
      <c r="I20" s="126" t="s">
        <v>46</v>
      </c>
      <c r="J20" s="127"/>
      <c r="K20" s="127"/>
      <c r="L20" s="127">
        <v>536</v>
      </c>
      <c r="M20" s="127"/>
      <c r="N20" s="127">
        <v>6</v>
      </c>
      <c r="O20" s="127">
        <f t="shared" ref="O20:O26" si="4">SUM(J20:N20)</f>
        <v>542</v>
      </c>
      <c r="P20" s="805" t="s">
        <v>38</v>
      </c>
      <c r="Q20" s="798" t="s">
        <v>39</v>
      </c>
      <c r="R20" s="798"/>
      <c r="S20" s="798"/>
      <c r="T20" s="798"/>
      <c r="U20" s="798"/>
      <c r="V20" s="807" t="s">
        <v>6</v>
      </c>
    </row>
    <row r="21" spans="1:22" s="143" customFormat="1" hidden="1">
      <c r="A21" s="806"/>
      <c r="B21" s="113" t="s">
        <v>41</v>
      </c>
      <c r="C21" s="110" t="s">
        <v>42</v>
      </c>
      <c r="D21" s="110" t="s">
        <v>43</v>
      </c>
      <c r="E21" s="110" t="s">
        <v>25</v>
      </c>
      <c r="F21" s="110" t="s">
        <v>44</v>
      </c>
      <c r="G21" s="808"/>
      <c r="I21" s="126" t="s">
        <v>48</v>
      </c>
      <c r="J21" s="127"/>
      <c r="K21" s="127">
        <v>437</v>
      </c>
      <c r="L21" s="127"/>
      <c r="M21" s="127"/>
      <c r="N21" s="127"/>
      <c r="O21" s="127">
        <f t="shared" si="4"/>
        <v>437</v>
      </c>
      <c r="P21" s="806"/>
      <c r="Q21" s="113" t="s">
        <v>41</v>
      </c>
      <c r="R21" s="110" t="s">
        <v>42</v>
      </c>
      <c r="S21" s="110" t="s">
        <v>43</v>
      </c>
      <c r="T21" s="110" t="s">
        <v>25</v>
      </c>
      <c r="U21" s="110" t="s">
        <v>44</v>
      </c>
      <c r="V21" s="808"/>
    </row>
    <row r="22" spans="1:22" s="143" customFormat="1" hidden="1">
      <c r="A22" s="126" t="s">
        <v>46</v>
      </c>
      <c r="B22" s="127"/>
      <c r="C22" s="127"/>
      <c r="D22" s="127">
        <v>718</v>
      </c>
      <c r="E22" s="127"/>
      <c r="F22" s="127"/>
      <c r="G22" s="127">
        <f t="shared" ref="G22:G28" si="5">SUM(B22:F22)</f>
        <v>718</v>
      </c>
      <c r="I22" s="126" t="s">
        <v>50</v>
      </c>
      <c r="J22" s="127">
        <v>222</v>
      </c>
      <c r="K22" s="127">
        <v>591</v>
      </c>
      <c r="L22" s="127"/>
      <c r="M22" s="127"/>
      <c r="N22" s="127"/>
      <c r="O22" s="127">
        <f t="shared" si="4"/>
        <v>813</v>
      </c>
      <c r="P22" s="126" t="s">
        <v>46</v>
      </c>
      <c r="Q22" s="127"/>
      <c r="R22" s="127"/>
      <c r="S22" s="127">
        <v>718</v>
      </c>
      <c r="T22" s="127"/>
      <c r="U22" s="127"/>
      <c r="V22" s="127">
        <f t="shared" ref="V22:V28" si="6">SUM(Q22:U22)</f>
        <v>718</v>
      </c>
    </row>
    <row r="23" spans="1:22" s="143" customFormat="1" hidden="1">
      <c r="A23" s="126" t="s">
        <v>48</v>
      </c>
      <c r="B23" s="127"/>
      <c r="C23" s="127">
        <v>626</v>
      </c>
      <c r="D23" s="127"/>
      <c r="E23" s="127"/>
      <c r="F23" s="127"/>
      <c r="G23" s="127">
        <f t="shared" si="5"/>
        <v>626</v>
      </c>
      <c r="I23" s="49" t="s">
        <v>384</v>
      </c>
      <c r="J23" s="49">
        <f>SUM(J20:J22)</f>
        <v>222</v>
      </c>
      <c r="K23" s="49">
        <f>SUM(K20:K22)</f>
        <v>1028</v>
      </c>
      <c r="L23" s="49">
        <f>SUM(L20:L22)</f>
        <v>536</v>
      </c>
      <c r="M23" s="49">
        <f>SUM(M20:M22)</f>
        <v>0</v>
      </c>
      <c r="N23" s="49">
        <f>SUM(N20:N22)</f>
        <v>6</v>
      </c>
      <c r="O23" s="49">
        <f t="shared" si="4"/>
        <v>1792</v>
      </c>
      <c r="P23" s="126" t="s">
        <v>48</v>
      </c>
      <c r="Q23" s="127"/>
      <c r="R23" s="127">
        <v>626</v>
      </c>
      <c r="S23" s="127"/>
      <c r="T23" s="127"/>
      <c r="U23" s="127"/>
      <c r="V23" s="127">
        <f t="shared" si="6"/>
        <v>626</v>
      </c>
    </row>
    <row r="24" spans="1:22" s="143" customFormat="1" hidden="1">
      <c r="A24" s="126" t="s">
        <v>50</v>
      </c>
      <c r="B24" s="127"/>
      <c r="C24" s="127">
        <v>777</v>
      </c>
      <c r="D24" s="127"/>
      <c r="E24" s="127"/>
      <c r="F24" s="127"/>
      <c r="G24" s="127">
        <f t="shared" si="5"/>
        <v>777</v>
      </c>
      <c r="I24" s="126" t="s">
        <v>53</v>
      </c>
      <c r="J24" s="127"/>
      <c r="K24" s="127">
        <v>339</v>
      </c>
      <c r="L24" s="127"/>
      <c r="M24" s="127">
        <v>8</v>
      </c>
      <c r="N24" s="127"/>
      <c r="O24" s="127">
        <f t="shared" si="4"/>
        <v>347</v>
      </c>
      <c r="P24" s="126" t="s">
        <v>50</v>
      </c>
      <c r="Q24" s="127"/>
      <c r="R24" s="127">
        <v>777</v>
      </c>
      <c r="S24" s="127"/>
      <c r="T24" s="127"/>
      <c r="U24" s="127"/>
      <c r="V24" s="127">
        <f t="shared" si="6"/>
        <v>777</v>
      </c>
    </row>
    <row r="25" spans="1:22" s="143" customFormat="1" hidden="1">
      <c r="A25" s="146" t="s">
        <v>384</v>
      </c>
      <c r="B25" s="146">
        <f>SUM(B22:B24)</f>
        <v>0</v>
      </c>
      <c r="C25" s="146">
        <f>SUM(C22:C24)</f>
        <v>1403</v>
      </c>
      <c r="D25" s="146">
        <f>SUM(D22:D24)</f>
        <v>718</v>
      </c>
      <c r="E25" s="146">
        <f>SUM(E22:E24)</f>
        <v>0</v>
      </c>
      <c r="F25" s="146">
        <f>SUM(F22:F24)</f>
        <v>0</v>
      </c>
      <c r="G25" s="146">
        <f t="shared" si="5"/>
        <v>2121</v>
      </c>
      <c r="I25" s="126" t="s">
        <v>55</v>
      </c>
      <c r="J25" s="127"/>
      <c r="K25" s="127">
        <v>182</v>
      </c>
      <c r="L25" s="127"/>
      <c r="M25" s="127"/>
      <c r="N25" s="127"/>
      <c r="O25" s="127">
        <f t="shared" si="4"/>
        <v>182</v>
      </c>
      <c r="P25" s="146" t="s">
        <v>384</v>
      </c>
      <c r="Q25" s="146">
        <f>SUM(Q22:Q24)</f>
        <v>0</v>
      </c>
      <c r="R25" s="146">
        <f>SUM(R22:R24)</f>
        <v>1403</v>
      </c>
      <c r="S25" s="146">
        <f>SUM(S22:S24)</f>
        <v>718</v>
      </c>
      <c r="T25" s="146">
        <f>SUM(T22:T24)</f>
        <v>0</v>
      </c>
      <c r="U25" s="146">
        <f>SUM(U22:U24)</f>
        <v>0</v>
      </c>
      <c r="V25" s="146">
        <f t="shared" si="6"/>
        <v>2121</v>
      </c>
    </row>
    <row r="26" spans="1:22" s="143" customFormat="1" hidden="1">
      <c r="A26" s="126" t="s">
        <v>53</v>
      </c>
      <c r="B26" s="127"/>
      <c r="C26" s="127">
        <v>494</v>
      </c>
      <c r="D26" s="127"/>
      <c r="E26" s="127"/>
      <c r="F26" s="127"/>
      <c r="G26" s="127">
        <f t="shared" si="5"/>
        <v>494</v>
      </c>
      <c r="I26" s="126" t="s">
        <v>57</v>
      </c>
      <c r="J26" s="127">
        <v>99</v>
      </c>
      <c r="K26" s="127">
        <v>246</v>
      </c>
      <c r="L26" s="127"/>
      <c r="M26" s="127"/>
      <c r="N26" s="127"/>
      <c r="O26" s="127">
        <f t="shared" si="4"/>
        <v>345</v>
      </c>
      <c r="P26" s="126" t="s">
        <v>53</v>
      </c>
      <c r="Q26" s="127"/>
      <c r="R26" s="127">
        <v>494</v>
      </c>
      <c r="S26" s="127"/>
      <c r="T26" s="127"/>
      <c r="U26" s="127"/>
      <c r="V26" s="127">
        <f t="shared" si="6"/>
        <v>494</v>
      </c>
    </row>
    <row r="27" spans="1:22" s="143" customFormat="1" hidden="1">
      <c r="A27" s="126" t="s">
        <v>55</v>
      </c>
      <c r="B27" s="127"/>
      <c r="C27" s="127">
        <v>309</v>
      </c>
      <c r="D27" s="127"/>
      <c r="E27" s="127"/>
      <c r="F27" s="127"/>
      <c r="G27" s="127">
        <f t="shared" si="5"/>
        <v>309</v>
      </c>
      <c r="I27" s="129" t="s">
        <v>388</v>
      </c>
      <c r="J27" s="49">
        <f t="shared" ref="J27:O27" si="7">SUM(J24:J26)</f>
        <v>99</v>
      </c>
      <c r="K27" s="49">
        <f t="shared" si="7"/>
        <v>767</v>
      </c>
      <c r="L27" s="49">
        <f t="shared" si="7"/>
        <v>0</v>
      </c>
      <c r="M27" s="49">
        <f t="shared" si="7"/>
        <v>8</v>
      </c>
      <c r="N27" s="49">
        <f t="shared" si="7"/>
        <v>0</v>
      </c>
      <c r="O27" s="49">
        <f t="shared" si="7"/>
        <v>874</v>
      </c>
      <c r="P27" s="126" t="s">
        <v>55</v>
      </c>
      <c r="Q27" s="127"/>
      <c r="R27" s="127">
        <v>309</v>
      </c>
      <c r="S27" s="127"/>
      <c r="T27" s="127"/>
      <c r="U27" s="127"/>
      <c r="V27" s="127">
        <f t="shared" si="6"/>
        <v>309</v>
      </c>
    </row>
    <row r="28" spans="1:22" s="143" customFormat="1" hidden="1">
      <c r="A28" s="126" t="s">
        <v>57</v>
      </c>
      <c r="B28" s="127">
        <f>14+13+11+38+37</f>
        <v>113</v>
      </c>
      <c r="C28" s="127">
        <f>428-B28</f>
        <v>315</v>
      </c>
      <c r="D28" s="127"/>
      <c r="E28" s="127"/>
      <c r="F28" s="127"/>
      <c r="G28" s="127">
        <f t="shared" si="5"/>
        <v>428</v>
      </c>
      <c r="I28" s="129" t="s">
        <v>21</v>
      </c>
      <c r="J28" s="49">
        <f t="shared" ref="J28:O28" si="8">SUM(J23,J27)</f>
        <v>321</v>
      </c>
      <c r="K28" s="49">
        <f t="shared" si="8"/>
        <v>1795</v>
      </c>
      <c r="L28" s="49">
        <f t="shared" si="8"/>
        <v>536</v>
      </c>
      <c r="M28" s="49">
        <f t="shared" si="8"/>
        <v>8</v>
      </c>
      <c r="N28" s="49">
        <f t="shared" si="8"/>
        <v>6</v>
      </c>
      <c r="O28" s="49">
        <f t="shared" si="8"/>
        <v>2666</v>
      </c>
      <c r="P28" s="126" t="s">
        <v>57</v>
      </c>
      <c r="Q28" s="127">
        <f>14+13+11+38+37</f>
        <v>113</v>
      </c>
      <c r="R28" s="127">
        <f>428-Q28</f>
        <v>315</v>
      </c>
      <c r="S28" s="127"/>
      <c r="T28" s="127"/>
      <c r="U28" s="127"/>
      <c r="V28" s="127">
        <f t="shared" si="6"/>
        <v>428</v>
      </c>
    </row>
    <row r="29" spans="1:22" s="143" customFormat="1" hidden="1">
      <c r="A29" s="145" t="s">
        <v>385</v>
      </c>
      <c r="B29" s="146">
        <f t="shared" ref="B29:G29" si="9">SUM(B26:B28)</f>
        <v>113</v>
      </c>
      <c r="C29" s="146">
        <f t="shared" si="9"/>
        <v>1118</v>
      </c>
      <c r="D29" s="146">
        <f t="shared" si="9"/>
        <v>0</v>
      </c>
      <c r="E29" s="146">
        <f t="shared" si="9"/>
        <v>0</v>
      </c>
      <c r="F29" s="146">
        <f t="shared" si="9"/>
        <v>0</v>
      </c>
      <c r="G29" s="146">
        <f t="shared" si="9"/>
        <v>1231</v>
      </c>
      <c r="P29" s="145" t="s">
        <v>385</v>
      </c>
      <c r="Q29" s="146">
        <f t="shared" ref="Q29:V29" si="10">SUM(Q26:Q28)</f>
        <v>113</v>
      </c>
      <c r="R29" s="146">
        <f t="shared" si="10"/>
        <v>1118</v>
      </c>
      <c r="S29" s="146">
        <f t="shared" si="10"/>
        <v>0</v>
      </c>
      <c r="T29" s="146">
        <f t="shared" si="10"/>
        <v>0</v>
      </c>
      <c r="U29" s="146">
        <f t="shared" si="10"/>
        <v>0</v>
      </c>
      <c r="V29" s="146">
        <f t="shared" si="10"/>
        <v>1231</v>
      </c>
    </row>
    <row r="30" spans="1:22" s="143" customFormat="1" hidden="1">
      <c r="A30" s="148" t="s">
        <v>21</v>
      </c>
      <c r="B30" s="149">
        <f t="shared" ref="B30:G30" si="11">SUM(B25,B29)</f>
        <v>113</v>
      </c>
      <c r="C30" s="149">
        <f t="shared" si="11"/>
        <v>2521</v>
      </c>
      <c r="D30" s="149">
        <f t="shared" si="11"/>
        <v>718</v>
      </c>
      <c r="E30" s="149">
        <f t="shared" si="11"/>
        <v>0</v>
      </c>
      <c r="F30" s="149">
        <f t="shared" si="11"/>
        <v>0</v>
      </c>
      <c r="G30" s="149">
        <f t="shared" si="11"/>
        <v>3352</v>
      </c>
      <c r="I30" s="921" t="s">
        <v>389</v>
      </c>
      <c r="J30" s="921"/>
      <c r="K30" s="921"/>
      <c r="L30" s="921"/>
      <c r="M30" s="921"/>
      <c r="N30" s="921"/>
      <c r="O30" s="921"/>
      <c r="P30" s="148" t="s">
        <v>21</v>
      </c>
      <c r="Q30" s="149">
        <f t="shared" ref="Q30:V30" si="12">SUM(Q25,Q29)</f>
        <v>113</v>
      </c>
      <c r="R30" s="149">
        <f t="shared" si="12"/>
        <v>2521</v>
      </c>
      <c r="S30" s="149">
        <f t="shared" si="12"/>
        <v>718</v>
      </c>
      <c r="T30" s="149">
        <f t="shared" si="12"/>
        <v>0</v>
      </c>
      <c r="U30" s="149">
        <f t="shared" si="12"/>
        <v>0</v>
      </c>
      <c r="V30" s="149">
        <f t="shared" si="12"/>
        <v>3352</v>
      </c>
    </row>
    <row r="31" spans="1:22" hidden="1">
      <c r="A31" s="122"/>
      <c r="B31" s="123"/>
      <c r="C31" s="123"/>
      <c r="D31" s="123"/>
      <c r="E31" s="123"/>
      <c r="F31" s="123"/>
      <c r="G31" s="123"/>
      <c r="I31" s="109" t="s">
        <v>38</v>
      </c>
      <c r="J31" s="922" t="s">
        <v>39</v>
      </c>
      <c r="K31" s="923"/>
      <c r="L31" s="923"/>
      <c r="M31" s="923"/>
      <c r="N31" s="924"/>
      <c r="O31" s="111" t="s">
        <v>6</v>
      </c>
      <c r="P31" s="122"/>
      <c r="Q31" s="123"/>
      <c r="R31" s="123"/>
      <c r="S31" s="123"/>
      <c r="T31" s="123"/>
      <c r="U31" s="123"/>
      <c r="V31" s="123"/>
    </row>
    <row r="32" spans="1:22" hidden="1">
      <c r="A32" s="122" t="s">
        <v>390</v>
      </c>
      <c r="B32" s="123"/>
      <c r="C32" s="123"/>
      <c r="D32" s="123"/>
      <c r="E32" s="123"/>
      <c r="F32" s="123"/>
      <c r="G32" s="123"/>
      <c r="I32" s="112"/>
      <c r="J32" s="155" t="s">
        <v>41</v>
      </c>
      <c r="K32" s="156" t="s">
        <v>42</v>
      </c>
      <c r="L32" s="156" t="s">
        <v>43</v>
      </c>
      <c r="M32" s="156" t="s">
        <v>25</v>
      </c>
      <c r="N32" s="156" t="s">
        <v>44</v>
      </c>
      <c r="O32" s="114"/>
      <c r="P32" s="122" t="s">
        <v>390</v>
      </c>
      <c r="Q32" s="123"/>
      <c r="R32" s="123"/>
      <c r="S32" s="123"/>
      <c r="T32" s="123"/>
      <c r="U32" s="123"/>
      <c r="V32" s="123"/>
    </row>
    <row r="33" spans="1:22" hidden="1">
      <c r="A33" s="130"/>
      <c r="B33" s="131"/>
      <c r="C33" s="131"/>
      <c r="D33" s="131"/>
      <c r="E33" s="131"/>
      <c r="F33" s="131"/>
      <c r="G33" s="131"/>
      <c r="I33" s="115" t="s">
        <v>46</v>
      </c>
      <c r="J33" s="117"/>
      <c r="K33" s="117"/>
      <c r="L33" s="117">
        <v>1346</v>
      </c>
      <c r="M33" s="117"/>
      <c r="N33" s="117">
        <v>5</v>
      </c>
      <c r="O33" s="117">
        <f t="shared" ref="O33:O39" si="13">SUM(J33:N33)</f>
        <v>1351</v>
      </c>
      <c r="P33" s="130"/>
      <c r="Q33" s="131"/>
      <c r="R33" s="131"/>
      <c r="S33" s="131"/>
      <c r="T33" s="131"/>
      <c r="U33" s="131"/>
      <c r="V33" s="131"/>
    </row>
    <row r="34" spans="1:22" hidden="1">
      <c r="A34" s="132"/>
      <c r="B34" s="133"/>
      <c r="C34" s="133"/>
      <c r="D34" s="133"/>
      <c r="E34" s="133"/>
      <c r="F34" s="133"/>
      <c r="G34" s="133"/>
      <c r="I34" s="126" t="s">
        <v>48</v>
      </c>
      <c r="J34" s="127"/>
      <c r="K34" s="127">
        <v>411</v>
      </c>
      <c r="L34" s="127"/>
      <c r="M34" s="127"/>
      <c r="N34" s="127"/>
      <c r="O34" s="127">
        <f t="shared" si="13"/>
        <v>411</v>
      </c>
      <c r="P34" s="132"/>
      <c r="Q34" s="133"/>
      <c r="R34" s="133"/>
      <c r="S34" s="133"/>
      <c r="T34" s="133"/>
      <c r="U34" s="133"/>
      <c r="V34" s="133"/>
    </row>
    <row r="35" spans="1:22" hidden="1">
      <c r="A35" s="132"/>
      <c r="B35" s="133"/>
      <c r="C35" s="133"/>
      <c r="D35" s="133"/>
      <c r="E35" s="133"/>
      <c r="F35" s="133"/>
      <c r="G35" s="133"/>
      <c r="I35" s="126" t="s">
        <v>50</v>
      </c>
      <c r="J35" s="127"/>
      <c r="K35" s="127">
        <v>900</v>
      </c>
      <c r="L35" s="127"/>
      <c r="M35" s="127"/>
      <c r="N35" s="127"/>
      <c r="O35" s="127">
        <f t="shared" si="13"/>
        <v>900</v>
      </c>
      <c r="P35" s="132"/>
      <c r="Q35" s="133"/>
      <c r="R35" s="133"/>
      <c r="S35" s="133"/>
      <c r="T35" s="133"/>
      <c r="U35" s="133"/>
      <c r="V35" s="133"/>
    </row>
    <row r="36" spans="1:22" hidden="1">
      <c r="A36" s="130"/>
      <c r="B36" s="131"/>
      <c r="C36" s="131"/>
      <c r="D36" s="131"/>
      <c r="E36" s="131"/>
      <c r="F36" s="131"/>
      <c r="G36" s="131"/>
      <c r="I36" s="49" t="s">
        <v>6</v>
      </c>
      <c r="J36" s="49">
        <f>SUM(J33:J35)</f>
        <v>0</v>
      </c>
      <c r="K36" s="49">
        <f>SUM(K33:K35)</f>
        <v>1311</v>
      </c>
      <c r="L36" s="49">
        <f>SUM(L33:L35)</f>
        <v>1346</v>
      </c>
      <c r="M36" s="49">
        <f>SUM(M33:M35)</f>
        <v>0</v>
      </c>
      <c r="N36" s="49">
        <f>SUM(N33:N35)</f>
        <v>5</v>
      </c>
      <c r="O36" s="49">
        <f t="shared" si="13"/>
        <v>2662</v>
      </c>
      <c r="P36" s="130"/>
      <c r="Q36" s="131"/>
      <c r="R36" s="131"/>
      <c r="S36" s="131"/>
      <c r="T36" s="131"/>
      <c r="U36" s="131"/>
      <c r="V36" s="131"/>
    </row>
    <row r="37" spans="1:22" hidden="1">
      <c r="A37" s="132"/>
      <c r="B37" s="133"/>
      <c r="C37" s="133"/>
      <c r="D37" s="133"/>
      <c r="E37" s="133"/>
      <c r="F37" s="133"/>
      <c r="G37" s="133"/>
      <c r="I37" s="126" t="s">
        <v>53</v>
      </c>
      <c r="J37" s="127"/>
      <c r="K37" s="127">
        <v>450</v>
      </c>
      <c r="L37" s="127"/>
      <c r="M37" s="127"/>
      <c r="N37" s="127"/>
      <c r="O37" s="127">
        <f t="shared" si="13"/>
        <v>450</v>
      </c>
      <c r="P37" s="132"/>
      <c r="Q37" s="133"/>
      <c r="R37" s="133"/>
      <c r="S37" s="133"/>
      <c r="T37" s="133"/>
      <c r="U37" s="133"/>
      <c r="V37" s="133"/>
    </row>
    <row r="38" spans="1:22" hidden="1">
      <c r="A38" s="132"/>
      <c r="B38" s="133"/>
      <c r="C38" s="133"/>
      <c r="D38" s="133"/>
      <c r="E38" s="133"/>
      <c r="F38" s="133"/>
      <c r="G38" s="133"/>
      <c r="I38" s="126" t="s">
        <v>55</v>
      </c>
      <c r="J38" s="127"/>
      <c r="K38" s="127">
        <v>166</v>
      </c>
      <c r="L38" s="127"/>
      <c r="M38" s="127"/>
      <c r="N38" s="127"/>
      <c r="O38" s="127">
        <f t="shared" si="13"/>
        <v>166</v>
      </c>
      <c r="P38" s="132"/>
      <c r="Q38" s="133"/>
      <c r="R38" s="133"/>
      <c r="S38" s="133"/>
      <c r="T38" s="133"/>
      <c r="U38" s="133"/>
      <c r="V38" s="133"/>
    </row>
    <row r="39" spans="1:22" hidden="1">
      <c r="A39" s="132"/>
      <c r="B39" s="133"/>
      <c r="C39" s="133"/>
      <c r="D39" s="133"/>
      <c r="E39" s="133"/>
      <c r="F39" s="133"/>
      <c r="G39" s="133"/>
      <c r="I39" s="126" t="s">
        <v>57</v>
      </c>
      <c r="J39" s="127"/>
      <c r="K39" s="127">
        <v>412</v>
      </c>
      <c r="L39" s="127"/>
      <c r="M39" s="127">
        <v>6</v>
      </c>
      <c r="N39" s="127"/>
      <c r="O39" s="127">
        <f t="shared" si="13"/>
        <v>418</v>
      </c>
      <c r="P39" s="132"/>
      <c r="Q39" s="133"/>
      <c r="R39" s="133"/>
      <c r="S39" s="133"/>
      <c r="T39" s="133"/>
      <c r="U39" s="133"/>
      <c r="V39" s="133"/>
    </row>
    <row r="40" spans="1:22" hidden="1">
      <c r="A40" s="132"/>
      <c r="B40" s="133"/>
      <c r="C40" s="133"/>
      <c r="D40" s="133"/>
      <c r="E40" s="133"/>
      <c r="F40" s="133"/>
      <c r="G40" s="133"/>
      <c r="I40" s="129" t="s">
        <v>6</v>
      </c>
      <c r="J40" s="49">
        <f t="shared" ref="J40:O40" si="14">SUM(J37:J39)</f>
        <v>0</v>
      </c>
      <c r="K40" s="49">
        <f t="shared" si="14"/>
        <v>1028</v>
      </c>
      <c r="L40" s="49">
        <f t="shared" si="14"/>
        <v>0</v>
      </c>
      <c r="M40" s="49">
        <f t="shared" si="14"/>
        <v>6</v>
      </c>
      <c r="N40" s="49">
        <f t="shared" si="14"/>
        <v>0</v>
      </c>
      <c r="O40" s="49">
        <f t="shared" si="14"/>
        <v>1034</v>
      </c>
      <c r="P40" s="132"/>
      <c r="Q40" s="133"/>
      <c r="R40" s="133"/>
      <c r="S40" s="133"/>
      <c r="T40" s="133"/>
      <c r="U40" s="133"/>
      <c r="V40" s="133"/>
    </row>
    <row r="41" spans="1:22" hidden="1">
      <c r="A41" s="134"/>
      <c r="B41" s="135"/>
      <c r="C41" s="135"/>
      <c r="D41" s="135"/>
      <c r="E41" s="135"/>
      <c r="F41" s="135"/>
      <c r="G41" s="135"/>
      <c r="I41" s="119" t="s">
        <v>21</v>
      </c>
      <c r="J41" s="118">
        <f t="shared" ref="J41:O41" si="15">SUM(J36,J40)</f>
        <v>0</v>
      </c>
      <c r="K41" s="118">
        <f t="shared" si="15"/>
        <v>2339</v>
      </c>
      <c r="L41" s="118">
        <f t="shared" si="15"/>
        <v>1346</v>
      </c>
      <c r="M41" s="118">
        <f t="shared" si="15"/>
        <v>6</v>
      </c>
      <c r="N41" s="118">
        <f t="shared" si="15"/>
        <v>5</v>
      </c>
      <c r="O41" s="118">
        <f t="shared" si="15"/>
        <v>3696</v>
      </c>
      <c r="P41" s="134"/>
      <c r="Q41" s="135"/>
      <c r="R41" s="135"/>
      <c r="S41" s="135"/>
      <c r="T41" s="135"/>
      <c r="U41" s="135"/>
      <c r="V41" s="135"/>
    </row>
    <row r="42" spans="1:22" hidden="1">
      <c r="A42" s="136"/>
      <c r="B42" s="88"/>
      <c r="C42" s="88"/>
      <c r="D42" s="88"/>
      <c r="E42" s="88"/>
      <c r="F42" s="88"/>
      <c r="G42" s="88"/>
      <c r="P42" s="136"/>
      <c r="Q42" s="88"/>
      <c r="R42" s="88"/>
      <c r="S42" s="88"/>
      <c r="T42" s="88"/>
      <c r="U42" s="88"/>
      <c r="V42" s="88"/>
    </row>
    <row r="43" spans="1:22" hidden="1">
      <c r="A43" s="136"/>
      <c r="B43" s="88"/>
      <c r="C43" s="88"/>
      <c r="D43" s="88"/>
      <c r="E43" s="88"/>
      <c r="F43" s="88"/>
      <c r="G43" s="88"/>
      <c r="P43" s="136"/>
      <c r="Q43" s="88"/>
      <c r="R43" s="88"/>
      <c r="S43" s="88"/>
      <c r="T43" s="88"/>
      <c r="U43" s="88"/>
      <c r="V43" s="88"/>
    </row>
    <row r="44" spans="1:22" hidden="1">
      <c r="A44" s="137"/>
      <c r="B44" s="138"/>
      <c r="C44" s="138"/>
      <c r="D44" s="138"/>
      <c r="E44" s="138"/>
      <c r="F44" s="138"/>
      <c r="G44" s="138"/>
      <c r="P44" s="137"/>
      <c r="Q44" s="138"/>
      <c r="R44" s="138"/>
      <c r="S44" s="138"/>
      <c r="T44" s="138"/>
      <c r="U44" s="138"/>
      <c r="V44" s="138"/>
    </row>
    <row r="45" spans="1:22" hidden="1">
      <c r="A45" s="137"/>
      <c r="B45" s="138"/>
      <c r="C45" s="138"/>
      <c r="D45" s="138"/>
      <c r="E45" s="138"/>
      <c r="F45" s="138"/>
      <c r="G45" s="138"/>
      <c r="P45" s="137"/>
      <c r="Q45" s="138"/>
      <c r="R45" s="138"/>
      <c r="S45" s="138"/>
      <c r="T45" s="138"/>
      <c r="U45" s="138"/>
      <c r="V45" s="138"/>
    </row>
    <row r="46" spans="1:22" hidden="1">
      <c r="A46" s="134"/>
      <c r="B46" s="135"/>
      <c r="C46" s="135"/>
      <c r="D46" s="135"/>
      <c r="E46" s="135"/>
      <c r="F46" s="135"/>
      <c r="G46" s="135"/>
      <c r="P46" s="134"/>
      <c r="Q46" s="135"/>
      <c r="R46" s="135"/>
      <c r="S46" s="135"/>
      <c r="T46" s="135"/>
      <c r="U46" s="135"/>
      <c r="V46" s="135"/>
    </row>
    <row r="47" spans="1:22" hidden="1">
      <c r="A47" s="136"/>
      <c r="B47" s="88"/>
      <c r="C47" s="88"/>
      <c r="D47" s="88"/>
      <c r="E47" s="88"/>
      <c r="F47" s="88"/>
      <c r="G47" s="88"/>
      <c r="P47" s="136"/>
      <c r="Q47" s="88"/>
      <c r="R47" s="88"/>
      <c r="S47" s="88"/>
      <c r="T47" s="88"/>
      <c r="U47" s="88"/>
      <c r="V47" s="88"/>
    </row>
    <row r="48" spans="1:22" hidden="1">
      <c r="A48" s="136"/>
      <c r="B48" s="88"/>
      <c r="C48" s="88"/>
      <c r="D48" s="88"/>
      <c r="E48" s="88"/>
      <c r="F48" s="88"/>
      <c r="G48" s="88"/>
      <c r="P48" s="136"/>
      <c r="Q48" s="88"/>
      <c r="R48" s="88"/>
      <c r="S48" s="88"/>
      <c r="T48" s="88"/>
      <c r="U48" s="88"/>
      <c r="V48" s="88"/>
    </row>
    <row r="49" spans="1:22" hidden="1">
      <c r="A49" s="134"/>
      <c r="B49" s="135"/>
      <c r="C49" s="135"/>
      <c r="D49" s="135"/>
      <c r="E49" s="135"/>
      <c r="F49" s="135"/>
      <c r="G49" s="135"/>
      <c r="P49" s="134"/>
      <c r="Q49" s="135"/>
      <c r="R49" s="135"/>
      <c r="S49" s="135"/>
      <c r="T49" s="135"/>
      <c r="U49" s="135"/>
      <c r="V49" s="135"/>
    </row>
    <row r="50" spans="1:22" hidden="1">
      <c r="A50" s="139"/>
      <c r="B50" s="140"/>
      <c r="C50" s="140"/>
      <c r="D50" s="140"/>
      <c r="E50" s="140"/>
      <c r="F50" s="140"/>
      <c r="G50" s="140"/>
      <c r="P50" s="139"/>
      <c r="Q50" s="140"/>
      <c r="R50" s="140"/>
      <c r="S50" s="140"/>
      <c r="T50" s="140"/>
      <c r="U50" s="140"/>
      <c r="V50" s="140"/>
    </row>
    <row r="51" spans="1:22" hidden="1">
      <c r="A51" s="132"/>
      <c r="B51" s="133"/>
      <c r="C51" s="133"/>
      <c r="D51" s="133"/>
      <c r="E51" s="133"/>
      <c r="F51" s="133"/>
      <c r="G51" s="133"/>
      <c r="P51" s="132"/>
      <c r="Q51" s="133"/>
      <c r="R51" s="133"/>
      <c r="S51" s="133"/>
      <c r="T51" s="133"/>
      <c r="U51" s="133"/>
      <c r="V51" s="133"/>
    </row>
    <row r="52" spans="1:22" hidden="1">
      <c r="A52" s="132"/>
      <c r="B52" s="133"/>
      <c r="C52" s="133"/>
      <c r="D52" s="133"/>
      <c r="E52" s="133"/>
      <c r="F52" s="133"/>
      <c r="G52" s="133"/>
      <c r="P52" s="132"/>
      <c r="Q52" s="133"/>
      <c r="R52" s="133"/>
      <c r="S52" s="133"/>
      <c r="T52" s="133"/>
      <c r="U52" s="133"/>
      <c r="V52" s="133"/>
    </row>
    <row r="53" spans="1:22" hidden="1">
      <c r="A53" s="132"/>
      <c r="B53" s="133"/>
      <c r="C53" s="133"/>
      <c r="D53" s="133"/>
      <c r="E53" s="133"/>
      <c r="F53" s="133"/>
      <c r="G53" s="133"/>
      <c r="P53" s="132"/>
      <c r="Q53" s="133"/>
      <c r="R53" s="133"/>
      <c r="S53" s="133"/>
      <c r="T53" s="133"/>
      <c r="U53" s="133"/>
      <c r="V53" s="133"/>
    </row>
    <row r="54" spans="1:22" hidden="1">
      <c r="A54" s="132"/>
      <c r="B54" s="133"/>
      <c r="C54" s="133"/>
      <c r="D54" s="133"/>
      <c r="E54" s="133"/>
      <c r="F54" s="133"/>
      <c r="G54" s="133"/>
      <c r="P54" s="132"/>
      <c r="Q54" s="133"/>
      <c r="R54" s="133"/>
      <c r="S54" s="133"/>
      <c r="T54" s="133"/>
      <c r="U54" s="133"/>
      <c r="V54" s="133"/>
    </row>
    <row r="55" spans="1:22" hidden="1">
      <c r="A55" s="132"/>
      <c r="B55" s="133"/>
      <c r="C55" s="133"/>
      <c r="D55" s="133"/>
      <c r="E55" s="133"/>
      <c r="F55" s="133"/>
      <c r="G55" s="133"/>
      <c r="P55" s="132"/>
      <c r="Q55" s="133"/>
      <c r="R55" s="133"/>
      <c r="S55" s="133"/>
      <c r="T55" s="133"/>
      <c r="U55" s="133"/>
      <c r="V55" s="133"/>
    </row>
    <row r="56" spans="1:22" hidden="1">
      <c r="A56" s="132"/>
      <c r="B56" s="133"/>
      <c r="C56" s="133"/>
      <c r="D56" s="133"/>
      <c r="E56" s="133"/>
      <c r="F56" s="133"/>
      <c r="G56" s="133"/>
      <c r="P56" s="132"/>
      <c r="Q56" s="133"/>
      <c r="R56" s="133"/>
      <c r="S56" s="133"/>
      <c r="T56" s="133"/>
      <c r="U56" s="133"/>
      <c r="V56" s="133"/>
    </row>
    <row r="57" spans="1:22" hidden="1">
      <c r="A57" s="132"/>
      <c r="B57" s="133"/>
      <c r="C57" s="133"/>
      <c r="D57" s="133"/>
      <c r="E57" s="133"/>
      <c r="F57" s="133"/>
      <c r="G57" s="133"/>
      <c r="P57" s="132"/>
      <c r="Q57" s="133"/>
      <c r="R57" s="133"/>
      <c r="S57" s="133"/>
      <c r="T57" s="133"/>
      <c r="U57" s="133"/>
      <c r="V57" s="133"/>
    </row>
    <row r="58" spans="1:22" hidden="1">
      <c r="A58" s="132"/>
      <c r="B58" s="133"/>
      <c r="C58" s="133"/>
      <c r="D58" s="133"/>
      <c r="E58" s="133"/>
      <c r="F58" s="133"/>
      <c r="G58" s="133"/>
      <c r="P58" s="132"/>
      <c r="Q58" s="133"/>
      <c r="R58" s="133"/>
      <c r="S58" s="133"/>
      <c r="T58" s="133"/>
      <c r="U58" s="133"/>
      <c r="V58" s="133"/>
    </row>
    <row r="59" spans="1:22" hidden="1">
      <c r="A59" s="132"/>
      <c r="B59" s="133"/>
      <c r="C59" s="133"/>
      <c r="D59" s="133"/>
      <c r="E59" s="133"/>
      <c r="F59" s="133"/>
      <c r="G59" s="133"/>
      <c r="P59" s="132"/>
      <c r="Q59" s="133"/>
      <c r="R59" s="133"/>
      <c r="S59" s="133"/>
      <c r="T59" s="133"/>
      <c r="U59" s="133"/>
      <c r="V59" s="133"/>
    </row>
    <row r="60" spans="1:22" hidden="1">
      <c r="A60" s="139"/>
      <c r="B60" s="140"/>
      <c r="C60" s="140"/>
      <c r="D60" s="140"/>
      <c r="E60" s="140"/>
      <c r="F60" s="140"/>
      <c r="G60" s="140"/>
      <c r="P60" s="139"/>
      <c r="Q60" s="140"/>
      <c r="R60" s="140"/>
      <c r="S60" s="140"/>
      <c r="T60" s="140"/>
      <c r="U60" s="140"/>
      <c r="V60" s="140"/>
    </row>
    <row r="61" spans="1:22" hidden="1">
      <c r="A61" s="132"/>
      <c r="B61" s="133"/>
      <c r="C61" s="133"/>
      <c r="D61" s="133"/>
      <c r="E61" s="133"/>
      <c r="F61" s="133"/>
      <c r="G61" s="133"/>
      <c r="P61" s="132"/>
      <c r="Q61" s="133"/>
      <c r="R61" s="133"/>
      <c r="S61" s="133"/>
      <c r="T61" s="133"/>
      <c r="U61" s="133"/>
      <c r="V61" s="133"/>
    </row>
    <row r="62" spans="1:22" hidden="1">
      <c r="A62" s="132"/>
      <c r="B62" s="133"/>
      <c r="C62" s="133"/>
      <c r="D62" s="133"/>
      <c r="E62" s="133"/>
      <c r="F62" s="133"/>
      <c r="G62" s="133"/>
      <c r="P62" s="132"/>
      <c r="Q62" s="133"/>
      <c r="R62" s="133"/>
      <c r="S62" s="133"/>
      <c r="T62" s="133"/>
      <c r="U62" s="133"/>
      <c r="V62" s="133"/>
    </row>
    <row r="63" spans="1:22" hidden="1">
      <c r="A63" s="132"/>
      <c r="B63" s="133"/>
      <c r="C63" s="133"/>
      <c r="D63" s="133"/>
      <c r="E63" s="133"/>
      <c r="F63" s="133"/>
      <c r="G63" s="133"/>
      <c r="P63" s="132"/>
      <c r="Q63" s="133"/>
      <c r="R63" s="133"/>
      <c r="S63" s="133"/>
      <c r="T63" s="133"/>
      <c r="U63" s="133"/>
      <c r="V63" s="133"/>
    </row>
    <row r="64" spans="1:22" hidden="1">
      <c r="A64" s="132"/>
      <c r="B64" s="133"/>
      <c r="C64" s="133"/>
      <c r="D64" s="133"/>
      <c r="E64" s="133"/>
      <c r="F64" s="133"/>
      <c r="G64" s="133"/>
      <c r="P64" s="132"/>
      <c r="Q64" s="133"/>
      <c r="R64" s="133"/>
      <c r="S64" s="133"/>
      <c r="T64" s="133"/>
      <c r="U64" s="133"/>
      <c r="V64" s="133"/>
    </row>
    <row r="65" spans="1:22" hidden="1">
      <c r="A65" s="130"/>
      <c r="B65" s="131"/>
      <c r="C65" s="131"/>
      <c r="D65" s="131"/>
      <c r="E65" s="131"/>
      <c r="F65" s="131"/>
      <c r="G65" s="131"/>
      <c r="P65" s="130"/>
      <c r="Q65" s="131"/>
      <c r="R65" s="131"/>
      <c r="S65" s="131"/>
      <c r="T65" s="131"/>
      <c r="U65" s="131"/>
      <c r="V65" s="131"/>
    </row>
    <row r="66" spans="1:22" hidden="1">
      <c r="A66" s="132"/>
      <c r="B66" s="133"/>
      <c r="C66" s="133"/>
      <c r="D66" s="133"/>
      <c r="E66" s="133"/>
      <c r="F66" s="133"/>
      <c r="G66" s="133"/>
      <c r="P66" s="132"/>
      <c r="Q66" s="133"/>
      <c r="R66" s="133"/>
      <c r="S66" s="133"/>
      <c r="T66" s="133"/>
      <c r="U66" s="133"/>
      <c r="V66" s="133"/>
    </row>
    <row r="67" spans="1:22" hidden="1">
      <c r="A67" s="132"/>
      <c r="B67" s="133"/>
      <c r="C67" s="133"/>
      <c r="D67" s="133"/>
      <c r="E67" s="133"/>
      <c r="F67" s="133"/>
      <c r="G67" s="133"/>
      <c r="P67" s="132"/>
      <c r="Q67" s="133"/>
      <c r="R67" s="133"/>
      <c r="S67" s="133"/>
      <c r="T67" s="133"/>
      <c r="U67" s="133"/>
      <c r="V67" s="133"/>
    </row>
    <row r="68" spans="1:22" hidden="1">
      <c r="A68" s="130"/>
      <c r="B68" s="131"/>
      <c r="C68" s="131"/>
      <c r="D68" s="131"/>
      <c r="E68" s="131"/>
      <c r="F68" s="131"/>
      <c r="G68" s="131"/>
      <c r="P68" s="130"/>
      <c r="Q68" s="131"/>
      <c r="R68" s="131"/>
      <c r="S68" s="131"/>
      <c r="T68" s="131"/>
      <c r="U68" s="131"/>
      <c r="V68" s="131"/>
    </row>
    <row r="69" spans="1:22" hidden="1">
      <c r="A69" s="134"/>
      <c r="B69" s="135"/>
      <c r="C69" s="135"/>
      <c r="D69" s="135"/>
      <c r="E69" s="135"/>
      <c r="F69" s="135"/>
      <c r="G69" s="135"/>
      <c r="P69" s="134"/>
      <c r="Q69" s="135"/>
      <c r="R69" s="135"/>
      <c r="S69" s="135"/>
      <c r="T69" s="135"/>
      <c r="U69" s="135"/>
      <c r="V69" s="135"/>
    </row>
    <row r="70" spans="1:22" hidden="1">
      <c r="A70" s="130"/>
      <c r="B70" s="131"/>
      <c r="C70" s="131"/>
      <c r="D70" s="131"/>
      <c r="E70" s="131"/>
      <c r="F70" s="131"/>
      <c r="G70" s="131"/>
      <c r="P70" s="130"/>
      <c r="Q70" s="131"/>
      <c r="R70" s="131"/>
      <c r="S70" s="131"/>
      <c r="T70" s="131"/>
      <c r="U70" s="131"/>
      <c r="V70" s="131"/>
    </row>
    <row r="71" spans="1:22" hidden="1">
      <c r="A71" s="130"/>
      <c r="B71" s="131"/>
      <c r="C71" s="131"/>
      <c r="D71" s="131"/>
      <c r="E71" s="131"/>
      <c r="F71" s="131"/>
      <c r="G71" s="131"/>
      <c r="P71" s="130"/>
      <c r="Q71" s="131"/>
      <c r="R71" s="131"/>
      <c r="S71" s="131"/>
      <c r="T71" s="131"/>
      <c r="U71" s="131"/>
      <c r="V71" s="131"/>
    </row>
    <row r="72" spans="1:22" hidden="1">
      <c r="A72" s="130"/>
      <c r="B72" s="131"/>
      <c r="C72" s="131"/>
      <c r="D72" s="131"/>
      <c r="E72" s="131"/>
      <c r="F72" s="131"/>
      <c r="G72" s="131"/>
      <c r="P72" s="130"/>
      <c r="Q72" s="131"/>
      <c r="R72" s="131"/>
      <c r="S72" s="131"/>
      <c r="T72" s="131"/>
      <c r="U72" s="131"/>
      <c r="V72" s="131"/>
    </row>
    <row r="73" spans="1:22" hidden="1">
      <c r="A73" s="134"/>
      <c r="B73" s="135"/>
      <c r="C73" s="135"/>
      <c r="D73" s="135"/>
      <c r="E73" s="135"/>
      <c r="F73" s="135"/>
      <c r="G73" s="135"/>
      <c r="P73" s="134"/>
      <c r="Q73" s="135"/>
      <c r="R73" s="135"/>
      <c r="S73" s="135"/>
      <c r="T73" s="135"/>
      <c r="U73" s="135"/>
      <c r="V73" s="135"/>
    </row>
    <row r="74" spans="1:22" hidden="1">
      <c r="A74" s="139"/>
      <c r="B74" s="140"/>
      <c r="C74" s="140"/>
      <c r="D74" s="140"/>
      <c r="E74" s="140"/>
      <c r="F74" s="140"/>
      <c r="G74" s="140"/>
      <c r="P74" s="139"/>
      <c r="Q74" s="140"/>
      <c r="R74" s="140"/>
      <c r="S74" s="140"/>
      <c r="T74" s="140"/>
      <c r="U74" s="140"/>
      <c r="V74" s="140"/>
    </row>
    <row r="75" spans="1:22" hidden="1">
      <c r="A75" s="132"/>
      <c r="B75" s="133"/>
      <c r="C75" s="133"/>
      <c r="D75" s="133"/>
      <c r="E75" s="133"/>
      <c r="F75" s="133"/>
      <c r="G75" s="133"/>
      <c r="P75" s="132"/>
      <c r="Q75" s="133"/>
      <c r="R75" s="133"/>
      <c r="S75" s="133"/>
      <c r="T75" s="133"/>
      <c r="U75" s="133"/>
      <c r="V75" s="133"/>
    </row>
    <row r="76" spans="1:22" hidden="1">
      <c r="A76" s="130"/>
      <c r="B76" s="131"/>
      <c r="C76" s="131"/>
      <c r="D76" s="131"/>
      <c r="E76" s="131"/>
      <c r="F76" s="131"/>
      <c r="G76" s="131"/>
      <c r="P76" s="130"/>
      <c r="Q76" s="131"/>
      <c r="R76" s="131"/>
      <c r="S76" s="131"/>
      <c r="T76" s="131"/>
      <c r="U76" s="131"/>
      <c r="V76" s="131"/>
    </row>
    <row r="77" spans="1:22" hidden="1">
      <c r="A77" s="130"/>
      <c r="B77" s="131"/>
      <c r="C77" s="131"/>
      <c r="D77" s="131"/>
      <c r="E77" s="131"/>
      <c r="F77" s="131"/>
      <c r="G77" s="131"/>
      <c r="P77" s="130"/>
      <c r="Q77" s="131"/>
      <c r="R77" s="131"/>
      <c r="S77" s="131"/>
      <c r="T77" s="131"/>
      <c r="U77" s="131"/>
      <c r="V77" s="131"/>
    </row>
    <row r="78" spans="1:22" hidden="1">
      <c r="A78" s="130"/>
      <c r="B78" s="131"/>
      <c r="C78" s="131"/>
      <c r="D78" s="131"/>
      <c r="E78" s="131"/>
      <c r="F78" s="131"/>
      <c r="G78" s="131"/>
      <c r="P78" s="130"/>
      <c r="Q78" s="131"/>
      <c r="R78" s="131"/>
      <c r="S78" s="131"/>
      <c r="T78" s="131"/>
      <c r="U78" s="131"/>
      <c r="V78" s="131"/>
    </row>
    <row r="79" spans="1:22" hidden="1">
      <c r="A79" s="130"/>
      <c r="B79" s="131"/>
      <c r="C79" s="131"/>
      <c r="D79" s="131"/>
      <c r="E79" s="131"/>
      <c r="F79" s="131"/>
      <c r="G79" s="131"/>
      <c r="P79" s="130"/>
      <c r="Q79" s="131"/>
      <c r="R79" s="131"/>
      <c r="S79" s="131"/>
      <c r="T79" s="131"/>
      <c r="U79" s="131"/>
      <c r="V79" s="131"/>
    </row>
    <row r="80" spans="1:22" hidden="1">
      <c r="A80" s="130"/>
      <c r="B80" s="131"/>
      <c r="C80" s="131"/>
      <c r="D80" s="131"/>
      <c r="E80" s="131"/>
      <c r="F80" s="131"/>
      <c r="G80" s="131"/>
      <c r="P80" s="130"/>
      <c r="Q80" s="131"/>
      <c r="R80" s="131"/>
      <c r="S80" s="131"/>
      <c r="T80" s="131"/>
      <c r="U80" s="131"/>
      <c r="V80" s="131"/>
    </row>
    <row r="81" spans="1:22" hidden="1">
      <c r="A81" s="130"/>
      <c r="B81" s="131"/>
      <c r="C81" s="131"/>
      <c r="D81" s="131"/>
      <c r="E81" s="131"/>
      <c r="F81" s="131"/>
      <c r="G81" s="131"/>
      <c r="P81" s="130"/>
      <c r="Q81" s="131"/>
      <c r="R81" s="131"/>
      <c r="S81" s="131"/>
      <c r="T81" s="131"/>
      <c r="U81" s="131"/>
      <c r="V81" s="131"/>
    </row>
    <row r="82" spans="1:22" hidden="1">
      <c r="A82" s="130"/>
      <c r="B82" s="131"/>
      <c r="C82" s="131"/>
      <c r="D82" s="131"/>
      <c r="E82" s="131"/>
      <c r="F82" s="131"/>
      <c r="G82" s="131"/>
      <c r="P82" s="130"/>
      <c r="Q82" s="131"/>
      <c r="R82" s="131"/>
      <c r="S82" s="131"/>
      <c r="T82" s="131"/>
      <c r="U82" s="131"/>
      <c r="V82" s="131"/>
    </row>
    <row r="83" spans="1:22" hidden="1">
      <c r="A83" s="132"/>
      <c r="B83" s="133"/>
      <c r="C83" s="133"/>
      <c r="D83" s="133"/>
      <c r="E83" s="133"/>
      <c r="F83" s="133"/>
      <c r="G83" s="133"/>
      <c r="P83" s="132"/>
      <c r="Q83" s="133"/>
      <c r="R83" s="133"/>
      <c r="S83" s="133"/>
      <c r="T83" s="133"/>
      <c r="U83" s="133"/>
      <c r="V83" s="133"/>
    </row>
    <row r="84" spans="1:22" hidden="1">
      <c r="A84" s="132"/>
      <c r="B84" s="133"/>
      <c r="C84" s="133"/>
      <c r="D84" s="133"/>
      <c r="E84" s="133"/>
      <c r="F84" s="133"/>
      <c r="G84" s="133"/>
      <c r="P84" s="132"/>
      <c r="Q84" s="133"/>
      <c r="R84" s="133"/>
      <c r="S84" s="133"/>
      <c r="T84" s="133"/>
      <c r="U84" s="133"/>
      <c r="V84" s="133"/>
    </row>
    <row r="85" spans="1:22" hidden="1">
      <c r="A85" s="130"/>
      <c r="B85" s="131"/>
      <c r="C85" s="131"/>
      <c r="D85" s="131"/>
      <c r="E85" s="131"/>
      <c r="F85" s="131"/>
      <c r="G85" s="131"/>
      <c r="P85" s="130"/>
      <c r="Q85" s="131"/>
      <c r="R85" s="131"/>
      <c r="S85" s="131"/>
      <c r="T85" s="131"/>
      <c r="U85" s="131"/>
      <c r="V85" s="131"/>
    </row>
    <row r="86" spans="1:22" hidden="1">
      <c r="A86" s="130"/>
      <c r="B86" s="131"/>
      <c r="C86" s="131"/>
      <c r="D86" s="131"/>
      <c r="E86" s="131"/>
      <c r="F86" s="131"/>
      <c r="G86" s="131"/>
      <c r="P86" s="130"/>
      <c r="Q86" s="131"/>
      <c r="R86" s="131"/>
      <c r="S86" s="131"/>
      <c r="T86" s="131"/>
      <c r="U86" s="131"/>
      <c r="V86" s="131"/>
    </row>
    <row r="87" spans="1:22" hidden="1">
      <c r="A87" s="132"/>
      <c r="B87" s="133"/>
      <c r="C87" s="133"/>
      <c r="D87" s="133"/>
      <c r="E87" s="133"/>
      <c r="F87" s="133"/>
      <c r="G87" s="133"/>
      <c r="P87" s="132"/>
      <c r="Q87" s="133"/>
      <c r="R87" s="133"/>
      <c r="S87" s="133"/>
      <c r="T87" s="133"/>
      <c r="U87" s="133"/>
      <c r="V87" s="133"/>
    </row>
    <row r="88" spans="1:22" hidden="1">
      <c r="A88" s="130"/>
      <c r="B88" s="131"/>
      <c r="C88" s="131"/>
      <c r="D88" s="131"/>
      <c r="E88" s="131"/>
      <c r="F88" s="131"/>
      <c r="G88" s="131"/>
      <c r="P88" s="130"/>
      <c r="Q88" s="131"/>
      <c r="R88" s="131"/>
      <c r="S88" s="131"/>
      <c r="T88" s="131"/>
      <c r="U88" s="131"/>
      <c r="V88" s="131"/>
    </row>
    <row r="89" spans="1:22" hidden="1">
      <c r="A89" s="130"/>
      <c r="B89" s="131"/>
      <c r="C89" s="131"/>
      <c r="D89" s="131"/>
      <c r="E89" s="131"/>
      <c r="F89" s="131"/>
      <c r="G89" s="131"/>
      <c r="P89" s="130"/>
      <c r="Q89" s="131"/>
      <c r="R89" s="131"/>
      <c r="S89" s="131"/>
      <c r="T89" s="131"/>
      <c r="U89" s="131"/>
      <c r="V89" s="131"/>
    </row>
    <row r="90" spans="1:22" hidden="1">
      <c r="A90" s="134"/>
      <c r="B90" s="135"/>
      <c r="C90" s="135"/>
      <c r="D90" s="135"/>
      <c r="E90" s="135"/>
      <c r="F90" s="135"/>
      <c r="G90" s="135"/>
      <c r="P90" s="134"/>
      <c r="Q90" s="135"/>
      <c r="R90" s="135"/>
      <c r="S90" s="135"/>
      <c r="T90" s="135"/>
      <c r="U90" s="135"/>
      <c r="V90" s="135"/>
    </row>
    <row r="91" spans="1:22" hidden="1">
      <c r="A91" s="139"/>
      <c r="B91" s="140"/>
      <c r="C91" s="140"/>
      <c r="D91" s="140"/>
      <c r="E91" s="140"/>
      <c r="F91" s="140"/>
      <c r="G91" s="140"/>
      <c r="P91" s="139"/>
      <c r="Q91" s="140"/>
      <c r="R91" s="140"/>
      <c r="S91" s="140"/>
      <c r="T91" s="140"/>
      <c r="U91" s="140"/>
      <c r="V91" s="140"/>
    </row>
    <row r="92" spans="1:22" hidden="1">
      <c r="A92" s="132"/>
      <c r="B92" s="133"/>
      <c r="C92" s="133"/>
      <c r="D92" s="133"/>
      <c r="E92" s="133"/>
      <c r="F92" s="133"/>
      <c r="G92" s="133"/>
      <c r="P92" s="132"/>
      <c r="Q92" s="133"/>
      <c r="R92" s="133"/>
      <c r="S92" s="133"/>
      <c r="T92" s="133"/>
      <c r="U92" s="133"/>
      <c r="V92" s="133"/>
    </row>
    <row r="93" spans="1:22" hidden="1">
      <c r="A93" s="132"/>
      <c r="B93" s="133"/>
      <c r="C93" s="133"/>
      <c r="D93" s="133"/>
      <c r="E93" s="133"/>
      <c r="F93" s="133"/>
      <c r="G93" s="133"/>
      <c r="P93" s="132"/>
      <c r="Q93" s="133"/>
      <c r="R93" s="133"/>
      <c r="S93" s="133"/>
      <c r="T93" s="133"/>
      <c r="U93" s="133"/>
      <c r="V93" s="133"/>
    </row>
    <row r="94" spans="1:22" hidden="1">
      <c r="A94" s="132"/>
      <c r="B94" s="133"/>
      <c r="C94" s="133"/>
      <c r="D94" s="133"/>
      <c r="E94" s="133"/>
      <c r="F94" s="133"/>
      <c r="G94" s="133"/>
      <c r="P94" s="132"/>
      <c r="Q94" s="133"/>
      <c r="R94" s="133"/>
      <c r="S94" s="133"/>
      <c r="T94" s="133"/>
      <c r="U94" s="133"/>
      <c r="V94" s="133"/>
    </row>
    <row r="95" spans="1:22" hidden="1">
      <c r="A95" s="132"/>
      <c r="B95" s="133"/>
      <c r="C95" s="133"/>
      <c r="D95" s="133"/>
      <c r="E95" s="133"/>
      <c r="F95" s="133"/>
      <c r="G95" s="133"/>
      <c r="P95" s="132"/>
      <c r="Q95" s="133"/>
      <c r="R95" s="133"/>
      <c r="S95" s="133"/>
      <c r="T95" s="133"/>
      <c r="U95" s="133"/>
      <c r="V95" s="133"/>
    </row>
    <row r="96" spans="1:22" hidden="1">
      <c r="A96" s="132"/>
      <c r="B96" s="133"/>
      <c r="C96" s="133"/>
      <c r="D96" s="133"/>
      <c r="E96" s="133"/>
      <c r="F96" s="133"/>
      <c r="G96" s="133"/>
      <c r="P96" s="132"/>
      <c r="Q96" s="133"/>
      <c r="R96" s="133"/>
      <c r="S96" s="133"/>
      <c r="T96" s="133"/>
      <c r="U96" s="133"/>
      <c r="V96" s="133"/>
    </row>
    <row r="97" spans="1:22" hidden="1">
      <c r="A97" s="132"/>
      <c r="B97" s="133"/>
      <c r="C97" s="133"/>
      <c r="D97" s="133"/>
      <c r="E97" s="133"/>
      <c r="F97" s="133"/>
      <c r="G97" s="133"/>
      <c r="P97" s="132"/>
      <c r="Q97" s="133"/>
      <c r="R97" s="133"/>
      <c r="S97" s="133"/>
      <c r="T97" s="133"/>
      <c r="U97" s="133"/>
      <c r="V97" s="133"/>
    </row>
    <row r="98" spans="1:22" hidden="1">
      <c r="A98" s="132"/>
      <c r="B98" s="133"/>
      <c r="C98" s="133"/>
      <c r="D98" s="133"/>
      <c r="E98" s="133"/>
      <c r="F98" s="133"/>
      <c r="G98" s="133"/>
      <c r="P98" s="132"/>
      <c r="Q98" s="133"/>
      <c r="R98" s="133"/>
      <c r="S98" s="133"/>
      <c r="T98" s="133"/>
      <c r="U98" s="133"/>
      <c r="V98" s="133"/>
    </row>
    <row r="99" spans="1:22" hidden="1">
      <c r="A99" s="132"/>
      <c r="B99" s="133"/>
      <c r="C99" s="133"/>
      <c r="D99" s="133"/>
      <c r="E99" s="133"/>
      <c r="F99" s="133"/>
      <c r="G99" s="133"/>
      <c r="P99" s="132"/>
      <c r="Q99" s="133"/>
      <c r="R99" s="133"/>
      <c r="S99" s="133"/>
      <c r="T99" s="133"/>
      <c r="U99" s="133"/>
      <c r="V99" s="133"/>
    </row>
    <row r="100" spans="1:22" hidden="1">
      <c r="A100" s="132"/>
      <c r="B100" s="133"/>
      <c r="C100" s="133"/>
      <c r="D100" s="133"/>
      <c r="E100" s="133"/>
      <c r="F100" s="133"/>
      <c r="G100" s="133"/>
      <c r="P100" s="132"/>
      <c r="Q100" s="133"/>
      <c r="R100" s="133"/>
      <c r="S100" s="133"/>
      <c r="T100" s="133"/>
      <c r="U100" s="133"/>
      <c r="V100" s="133"/>
    </row>
    <row r="101" spans="1:22" hidden="1">
      <c r="A101" s="132"/>
      <c r="B101" s="133"/>
      <c r="C101" s="133"/>
      <c r="D101" s="133"/>
      <c r="E101" s="133"/>
      <c r="F101" s="133"/>
      <c r="G101" s="133"/>
      <c r="P101" s="132"/>
      <c r="Q101" s="133"/>
      <c r="R101" s="133"/>
      <c r="S101" s="133"/>
      <c r="T101" s="133"/>
      <c r="U101" s="133"/>
      <c r="V101" s="133"/>
    </row>
    <row r="102" spans="1:22" hidden="1">
      <c r="A102" s="130"/>
      <c r="B102" s="131"/>
      <c r="C102" s="131"/>
      <c r="D102" s="131"/>
      <c r="E102" s="131"/>
      <c r="F102" s="131"/>
      <c r="G102" s="131"/>
      <c r="P102" s="130"/>
      <c r="Q102" s="131"/>
      <c r="R102" s="131"/>
      <c r="S102" s="131"/>
      <c r="T102" s="131"/>
      <c r="U102" s="131"/>
      <c r="V102" s="131"/>
    </row>
    <row r="103" spans="1:22" hidden="1">
      <c r="A103" s="132"/>
      <c r="B103" s="133"/>
      <c r="C103" s="133"/>
      <c r="D103" s="133"/>
      <c r="E103" s="133"/>
      <c r="F103" s="133"/>
      <c r="G103" s="133"/>
      <c r="P103" s="132"/>
      <c r="Q103" s="133"/>
      <c r="R103" s="133"/>
      <c r="S103" s="133"/>
      <c r="T103" s="133"/>
      <c r="U103" s="133"/>
      <c r="V103" s="133"/>
    </row>
    <row r="104" spans="1:22">
      <c r="A104" s="132"/>
      <c r="B104" s="133"/>
      <c r="C104" s="133"/>
      <c r="D104" s="133"/>
      <c r="E104" s="133"/>
      <c r="F104" s="133"/>
      <c r="G104" s="133"/>
      <c r="P104" s="132"/>
      <c r="Q104" s="133"/>
      <c r="R104" s="133"/>
      <c r="S104" s="133"/>
      <c r="T104" s="133"/>
      <c r="U104" s="133"/>
      <c r="V104" s="133"/>
    </row>
    <row r="105" spans="1:22">
      <c r="A105" s="134"/>
      <c r="B105" s="135"/>
      <c r="C105" s="135"/>
      <c r="D105" s="135"/>
      <c r="E105" s="135"/>
      <c r="F105" s="135"/>
      <c r="G105" s="135"/>
      <c r="P105" s="134"/>
      <c r="Q105" s="135"/>
      <c r="R105" s="135"/>
      <c r="S105" s="135"/>
      <c r="T105" s="135"/>
      <c r="U105" s="135"/>
      <c r="V105" s="135"/>
    </row>
    <row r="106" spans="1:22">
      <c r="A106" s="139"/>
      <c r="B106" s="140"/>
      <c r="C106" s="140"/>
      <c r="D106" s="140"/>
      <c r="E106" s="140"/>
      <c r="F106" s="140"/>
      <c r="G106" s="140"/>
      <c r="P106" s="139"/>
      <c r="Q106" s="140"/>
      <c r="R106" s="140"/>
      <c r="S106" s="140"/>
      <c r="T106" s="140"/>
      <c r="U106" s="140"/>
      <c r="V106" s="140"/>
    </row>
    <row r="107" spans="1:22">
      <c r="A107" s="130"/>
      <c r="B107" s="131"/>
      <c r="C107" s="131"/>
      <c r="D107" s="131"/>
      <c r="E107" s="131"/>
      <c r="F107" s="131"/>
      <c r="G107" s="131"/>
      <c r="P107" s="130"/>
      <c r="Q107" s="131"/>
      <c r="R107" s="131"/>
      <c r="S107" s="131"/>
      <c r="T107" s="131"/>
      <c r="U107" s="131"/>
      <c r="V107" s="131"/>
    </row>
    <row r="108" spans="1:22">
      <c r="A108" s="132"/>
      <c r="B108" s="133"/>
      <c r="C108" s="133"/>
      <c r="D108" s="133"/>
      <c r="E108" s="133"/>
      <c r="F108" s="133"/>
      <c r="G108" s="133"/>
      <c r="P108" s="132"/>
      <c r="Q108" s="133"/>
      <c r="R108" s="133"/>
      <c r="S108" s="133"/>
      <c r="T108" s="133"/>
      <c r="U108" s="133"/>
      <c r="V108" s="133"/>
    </row>
    <row r="109" spans="1:22">
      <c r="A109" s="130"/>
      <c r="B109" s="131"/>
      <c r="C109" s="131"/>
      <c r="D109" s="131"/>
      <c r="E109" s="131"/>
      <c r="F109" s="131"/>
      <c r="G109" s="131"/>
      <c r="P109" s="130"/>
      <c r="Q109" s="131"/>
      <c r="R109" s="131"/>
      <c r="S109" s="131"/>
      <c r="T109" s="131"/>
      <c r="U109" s="131"/>
      <c r="V109" s="131"/>
    </row>
    <row r="110" spans="1:22">
      <c r="A110" s="132"/>
      <c r="B110" s="133"/>
      <c r="C110" s="133"/>
      <c r="D110" s="133"/>
      <c r="E110" s="133"/>
      <c r="F110" s="133"/>
      <c r="G110" s="133"/>
      <c r="P110" s="132"/>
      <c r="Q110" s="133"/>
      <c r="R110" s="133"/>
      <c r="S110" s="133"/>
      <c r="T110" s="133"/>
      <c r="U110" s="133"/>
      <c r="V110" s="133"/>
    </row>
    <row r="111" spans="1:22">
      <c r="A111" s="132"/>
      <c r="B111" s="133"/>
      <c r="C111" s="133"/>
      <c r="D111" s="133"/>
      <c r="E111" s="133"/>
      <c r="F111" s="133"/>
      <c r="G111" s="133"/>
      <c r="P111" s="132"/>
      <c r="Q111" s="133"/>
      <c r="R111" s="133"/>
      <c r="S111" s="133"/>
      <c r="T111" s="133"/>
      <c r="U111" s="133"/>
      <c r="V111" s="133"/>
    </row>
    <row r="112" spans="1:22">
      <c r="A112" s="132"/>
      <c r="B112" s="133"/>
      <c r="C112" s="133"/>
      <c r="D112" s="133"/>
      <c r="E112" s="133"/>
      <c r="F112" s="133"/>
      <c r="G112" s="133"/>
      <c r="P112" s="132"/>
      <c r="Q112" s="133"/>
      <c r="R112" s="133"/>
      <c r="S112" s="133"/>
      <c r="T112" s="133"/>
      <c r="U112" s="133"/>
      <c r="V112" s="133"/>
    </row>
    <row r="113" spans="1:22">
      <c r="A113" s="132"/>
      <c r="B113" s="131"/>
      <c r="C113" s="131"/>
      <c r="D113" s="131"/>
      <c r="E113" s="131"/>
      <c r="F113" s="131"/>
      <c r="G113" s="131"/>
      <c r="P113" s="132"/>
      <c r="Q113" s="131"/>
      <c r="R113" s="131"/>
      <c r="S113" s="131"/>
      <c r="T113" s="131"/>
      <c r="U113" s="131"/>
      <c r="V113" s="131"/>
    </row>
    <row r="114" spans="1:22">
      <c r="A114" s="130"/>
      <c r="B114" s="131"/>
      <c r="C114" s="131"/>
      <c r="D114" s="131"/>
      <c r="E114" s="131"/>
      <c r="F114" s="131"/>
      <c r="G114" s="131"/>
      <c r="P114" s="130"/>
      <c r="Q114" s="131"/>
      <c r="R114" s="131"/>
      <c r="S114" s="131"/>
      <c r="T114" s="131"/>
      <c r="U114" s="131"/>
      <c r="V114" s="131"/>
    </row>
    <row r="115" spans="1:22">
      <c r="A115" s="132"/>
      <c r="B115" s="131"/>
      <c r="C115" s="131"/>
      <c r="D115" s="131"/>
      <c r="E115" s="131"/>
      <c r="F115" s="131"/>
      <c r="G115" s="131"/>
      <c r="P115" s="132"/>
      <c r="Q115" s="131"/>
      <c r="R115" s="131"/>
      <c r="S115" s="131"/>
      <c r="T115" s="131"/>
      <c r="U115" s="131"/>
      <c r="V115" s="131"/>
    </row>
    <row r="116" spans="1:22">
      <c r="A116" s="132"/>
      <c r="B116" s="133"/>
      <c r="C116" s="133"/>
      <c r="D116" s="133"/>
      <c r="E116" s="133"/>
      <c r="F116" s="133"/>
      <c r="G116" s="133"/>
      <c r="P116" s="132"/>
      <c r="Q116" s="133"/>
      <c r="R116" s="133"/>
      <c r="S116" s="133"/>
      <c r="T116" s="133"/>
      <c r="U116" s="133"/>
      <c r="V116" s="133"/>
    </row>
    <row r="117" spans="1:22">
      <c r="A117" s="132"/>
      <c r="B117" s="131"/>
      <c r="C117" s="131"/>
      <c r="D117" s="131"/>
      <c r="E117" s="131"/>
      <c r="F117" s="131"/>
      <c r="G117" s="131"/>
      <c r="P117" s="132"/>
      <c r="Q117" s="131"/>
      <c r="R117" s="131"/>
      <c r="S117" s="131"/>
      <c r="T117" s="131"/>
      <c r="U117" s="131"/>
      <c r="V117" s="131"/>
    </row>
    <row r="118" spans="1:22">
      <c r="A118" s="132"/>
      <c r="B118" s="131"/>
      <c r="C118" s="131"/>
      <c r="D118" s="131"/>
      <c r="E118" s="131"/>
      <c r="F118" s="131"/>
      <c r="G118" s="131"/>
      <c r="P118" s="132"/>
      <c r="Q118" s="131"/>
      <c r="R118" s="131"/>
      <c r="S118" s="131"/>
      <c r="T118" s="131"/>
      <c r="U118" s="131"/>
      <c r="V118" s="131"/>
    </row>
    <row r="119" spans="1:22">
      <c r="A119" s="139"/>
      <c r="B119" s="140"/>
      <c r="C119" s="140"/>
      <c r="D119" s="140"/>
      <c r="E119" s="140"/>
      <c r="F119" s="140"/>
      <c r="G119" s="140"/>
      <c r="P119" s="139"/>
      <c r="Q119" s="140"/>
      <c r="R119" s="140"/>
      <c r="S119" s="140"/>
      <c r="T119" s="140"/>
      <c r="U119" s="140"/>
      <c r="V119" s="140"/>
    </row>
    <row r="120" spans="1:22">
      <c r="A120" s="130"/>
      <c r="B120" s="131"/>
      <c r="C120" s="131"/>
      <c r="D120" s="131"/>
      <c r="E120" s="131"/>
      <c r="F120" s="131"/>
      <c r="G120" s="131"/>
      <c r="P120" s="130"/>
      <c r="Q120" s="131"/>
      <c r="R120" s="131"/>
      <c r="S120" s="131"/>
      <c r="T120" s="131"/>
      <c r="U120" s="131"/>
      <c r="V120" s="131"/>
    </row>
    <row r="121" spans="1:22">
      <c r="A121" s="130"/>
      <c r="B121" s="131"/>
      <c r="C121" s="131"/>
      <c r="D121" s="131"/>
      <c r="E121" s="131"/>
      <c r="F121" s="131"/>
      <c r="G121" s="131"/>
      <c r="P121" s="130"/>
      <c r="Q121" s="131"/>
      <c r="R121" s="131"/>
      <c r="S121" s="131"/>
      <c r="T121" s="131"/>
      <c r="U121" s="131"/>
      <c r="V121" s="131"/>
    </row>
  </sheetData>
  <mergeCells count="24">
    <mergeCell ref="V20:V21"/>
    <mergeCell ref="B20:F20"/>
    <mergeCell ref="Q20:U20"/>
    <mergeCell ref="I30:O30"/>
    <mergeCell ref="J31:N31"/>
    <mergeCell ref="A20:A21"/>
    <mergeCell ref="G6:G7"/>
    <mergeCell ref="G20:G21"/>
    <mergeCell ref="P6:P7"/>
    <mergeCell ref="P20:P21"/>
    <mergeCell ref="B6:F6"/>
    <mergeCell ref="Q6:U6"/>
    <mergeCell ref="I17:O17"/>
    <mergeCell ref="J18:N18"/>
    <mergeCell ref="A19:G19"/>
    <mergeCell ref="P19:V19"/>
    <mergeCell ref="V6:V7"/>
    <mergeCell ref="A6:A7"/>
    <mergeCell ref="A1:G1"/>
    <mergeCell ref="P1:V1"/>
    <mergeCell ref="A2:G2"/>
    <mergeCell ref="P2:V2"/>
    <mergeCell ref="A4:G4"/>
    <mergeCell ref="P4:V4"/>
  </mergeCells>
  <printOptions horizontalCentered="1"/>
  <pageMargins left="0.53" right="0.511811023622047" top="0.74803149606299202" bottom="0.74803149606299202" header="0.31496062992126" footer="0.3149606299212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16" workbookViewId="0">
      <selection activeCell="M15" sqref="M15"/>
    </sheetView>
  </sheetViews>
  <sheetFormatPr defaultColWidth="9" defaultRowHeight="21"/>
  <cols>
    <col min="1" max="1" width="28.140625" style="105" customWidth="1"/>
    <col min="2" max="7" width="10.85546875" style="106" customWidth="1"/>
    <col min="8" max="8" width="10.7109375" customWidth="1"/>
  </cols>
  <sheetData>
    <row r="1" spans="1:10">
      <c r="A1" s="107"/>
      <c r="B1" s="108"/>
      <c r="C1" s="108"/>
      <c r="D1" s="108"/>
      <c r="E1" s="108"/>
      <c r="F1" s="108"/>
      <c r="G1" s="108"/>
    </row>
    <row r="2" spans="1:10" ht="23.25">
      <c r="A2" s="914" t="s">
        <v>391</v>
      </c>
      <c r="B2" s="915"/>
      <c r="C2" s="915"/>
      <c r="D2" s="915"/>
      <c r="E2" s="915"/>
      <c r="F2" s="915"/>
      <c r="G2" s="916"/>
    </row>
    <row r="3" spans="1:10">
      <c r="A3" s="107"/>
      <c r="B3" s="108"/>
      <c r="C3" s="108"/>
      <c r="D3" s="108"/>
      <c r="E3" s="108"/>
      <c r="F3" s="108"/>
      <c r="G3" s="108"/>
    </row>
    <row r="4" spans="1:10">
      <c r="A4" s="805" t="s">
        <v>38</v>
      </c>
      <c r="B4" s="798" t="s">
        <v>39</v>
      </c>
      <c r="C4" s="798"/>
      <c r="D4" s="798"/>
      <c r="E4" s="798"/>
      <c r="F4" s="798"/>
      <c r="G4" s="807" t="s">
        <v>6</v>
      </c>
    </row>
    <row r="5" spans="1:10">
      <c r="A5" s="806"/>
      <c r="B5" s="113" t="s">
        <v>41</v>
      </c>
      <c r="C5" s="110" t="s">
        <v>42</v>
      </c>
      <c r="D5" s="110" t="s">
        <v>43</v>
      </c>
      <c r="E5" s="110" t="s">
        <v>25</v>
      </c>
      <c r="F5" s="110" t="s">
        <v>44</v>
      </c>
      <c r="G5" s="808"/>
    </row>
    <row r="6" spans="1:10">
      <c r="A6" s="115" t="s">
        <v>46</v>
      </c>
      <c r="B6" s="116">
        <v>329</v>
      </c>
      <c r="C6" s="117"/>
      <c r="D6" s="116">
        <f>1+7+4+36+85+285+447</f>
        <v>865</v>
      </c>
      <c r="E6" s="116">
        <v>546</v>
      </c>
      <c r="F6" s="117">
        <v>177</v>
      </c>
      <c r="G6" s="117">
        <f t="shared" ref="G6:G14" si="0">SUM(B6:F6)</f>
        <v>1917</v>
      </c>
      <c r="I6">
        <v>196</v>
      </c>
      <c r="J6">
        <f>92-5</f>
        <v>87</v>
      </c>
    </row>
    <row r="7" spans="1:10">
      <c r="A7" s="115" t="s">
        <v>48</v>
      </c>
      <c r="B7" s="117"/>
      <c r="C7" s="116">
        <v>619</v>
      </c>
      <c r="D7" s="117"/>
      <c r="E7" s="116">
        <v>40</v>
      </c>
      <c r="F7" s="117"/>
      <c r="G7" s="117">
        <f t="shared" si="0"/>
        <v>659</v>
      </c>
      <c r="I7">
        <v>220</v>
      </c>
      <c r="J7">
        <f>59-(19+5)</f>
        <v>35</v>
      </c>
    </row>
    <row r="8" spans="1:10">
      <c r="A8" s="115" t="s">
        <v>50</v>
      </c>
      <c r="B8" s="117">
        <v>4</v>
      </c>
      <c r="C8" s="117">
        <v>1330</v>
      </c>
      <c r="D8" s="117"/>
      <c r="E8" s="116">
        <v>91</v>
      </c>
      <c r="F8" s="117">
        <v>20</v>
      </c>
      <c r="G8" s="117">
        <f t="shared" si="0"/>
        <v>1445</v>
      </c>
      <c r="I8">
        <v>85</v>
      </c>
      <c r="J8">
        <f>62-7</f>
        <v>55</v>
      </c>
    </row>
    <row r="9" spans="1:10">
      <c r="A9" s="118" t="s">
        <v>6</v>
      </c>
      <c r="B9" s="118">
        <f>SUM(B6:B8)</f>
        <v>333</v>
      </c>
      <c r="C9" s="118">
        <f>SUM(C6:C8)</f>
        <v>1949</v>
      </c>
      <c r="D9" s="118">
        <f>SUM(D6:D8)</f>
        <v>865</v>
      </c>
      <c r="E9" s="118">
        <f>SUM(E6:E8)</f>
        <v>677</v>
      </c>
      <c r="F9" s="118">
        <f>SUM(F6:F8)</f>
        <v>197</v>
      </c>
      <c r="G9" s="118">
        <f t="shared" si="0"/>
        <v>4021</v>
      </c>
      <c r="I9">
        <v>45</v>
      </c>
    </row>
    <row r="10" spans="1:10">
      <c r="A10" s="115" t="s">
        <v>53</v>
      </c>
      <c r="B10" s="117"/>
      <c r="C10" s="116">
        <f>1+23+31</f>
        <v>55</v>
      </c>
      <c r="D10" s="117"/>
      <c r="E10" s="117">
        <f>9+2+2+6+1+1+20+25</f>
        <v>66</v>
      </c>
      <c r="F10" s="117">
        <v>1</v>
      </c>
      <c r="G10" s="117">
        <f t="shared" si="0"/>
        <v>122</v>
      </c>
      <c r="I10">
        <f>SUM(I6:I9)</f>
        <v>546</v>
      </c>
      <c r="J10">
        <f>SUM(J6:J9)</f>
        <v>177</v>
      </c>
    </row>
    <row r="11" spans="1:10">
      <c r="A11" s="115" t="s">
        <v>55</v>
      </c>
      <c r="B11" s="117"/>
      <c r="C11" s="117">
        <v>12</v>
      </c>
      <c r="D11" s="117"/>
      <c r="E11" s="117"/>
      <c r="F11" s="117"/>
      <c r="G11" s="117">
        <f t="shared" si="0"/>
        <v>12</v>
      </c>
    </row>
    <row r="12" spans="1:10">
      <c r="A12" s="115" t="s">
        <v>57</v>
      </c>
      <c r="B12" s="117">
        <f>37+13+23+37+37+18+46</f>
        <v>211</v>
      </c>
      <c r="C12" s="117">
        <f>340-B12</f>
        <v>129</v>
      </c>
      <c r="D12" s="117"/>
      <c r="E12" s="117">
        <f>5+10+7</f>
        <v>22</v>
      </c>
      <c r="F12" s="117"/>
      <c r="G12" s="117">
        <f t="shared" si="0"/>
        <v>362</v>
      </c>
    </row>
    <row r="13" spans="1:10">
      <c r="A13" s="119" t="s">
        <v>6</v>
      </c>
      <c r="B13" s="118">
        <f>SUM(B10:B12)</f>
        <v>211</v>
      </c>
      <c r="C13" s="118">
        <f t="shared" ref="C13:F13" si="1">SUM(C10:C12)</f>
        <v>196</v>
      </c>
      <c r="D13" s="118">
        <f t="shared" si="1"/>
        <v>0</v>
      </c>
      <c r="E13" s="118">
        <f t="shared" si="1"/>
        <v>88</v>
      </c>
      <c r="F13" s="118">
        <f t="shared" si="1"/>
        <v>1</v>
      </c>
      <c r="G13" s="117">
        <f t="shared" si="0"/>
        <v>496</v>
      </c>
    </row>
    <row r="14" spans="1:10">
      <c r="A14" s="119" t="s">
        <v>21</v>
      </c>
      <c r="B14" s="118">
        <f>SUM(B9,B13)</f>
        <v>544</v>
      </c>
      <c r="C14" s="118">
        <f>SUM(C9,C13)</f>
        <v>2145</v>
      </c>
      <c r="D14" s="118">
        <f>SUM(D9,D13)</f>
        <v>865</v>
      </c>
      <c r="E14" s="118">
        <f>SUM(E9,E13)</f>
        <v>765</v>
      </c>
      <c r="F14" s="118">
        <f>SUM(F9,F13)</f>
        <v>198</v>
      </c>
      <c r="G14" s="118">
        <f t="shared" si="0"/>
        <v>4517</v>
      </c>
    </row>
    <row r="15" spans="1:10">
      <c r="A15" s="120"/>
      <c r="B15" s="121"/>
      <c r="C15" s="121"/>
      <c r="D15" s="121"/>
      <c r="E15" s="121"/>
      <c r="F15" s="121"/>
      <c r="G15" s="121"/>
      <c r="H15" s="103"/>
    </row>
    <row r="16" spans="1:10">
      <c r="A16" s="120" t="s">
        <v>392</v>
      </c>
      <c r="B16" s="121"/>
      <c r="C16" s="121"/>
      <c r="D16" s="121"/>
      <c r="E16" s="121">
        <f>E14</f>
        <v>765</v>
      </c>
      <c r="F16" s="121">
        <f>F14</f>
        <v>198</v>
      </c>
      <c r="G16" s="121">
        <f>B6</f>
        <v>329</v>
      </c>
      <c r="H16" s="103">
        <f>SUM(E16:G16)</f>
        <v>1292</v>
      </c>
    </row>
    <row r="17" spans="1:9">
      <c r="A17" s="120"/>
      <c r="B17" s="121"/>
      <c r="C17" s="121"/>
      <c r="D17" s="121"/>
      <c r="E17" s="121"/>
      <c r="F17" s="121"/>
      <c r="G17" s="121"/>
    </row>
    <row r="18" spans="1:9">
      <c r="A18" s="122"/>
      <c r="B18" s="123"/>
      <c r="C18" s="123"/>
      <c r="D18" s="123"/>
      <c r="E18" s="123"/>
      <c r="F18" s="123"/>
      <c r="G18" s="123"/>
    </row>
    <row r="19" spans="1:9">
      <c r="A19" s="925" t="s">
        <v>393</v>
      </c>
      <c r="B19" s="925"/>
      <c r="C19" s="925"/>
      <c r="D19" s="925"/>
      <c r="E19" s="925"/>
      <c r="F19" s="925"/>
      <c r="G19" s="925"/>
    </row>
    <row r="20" spans="1:9">
      <c r="A20" s="805" t="s">
        <v>38</v>
      </c>
      <c r="B20" s="871" t="s">
        <v>39</v>
      </c>
      <c r="C20" s="871"/>
      <c r="D20" s="871"/>
      <c r="E20" s="871"/>
      <c r="F20" s="871"/>
      <c r="G20" s="807" t="s">
        <v>6</v>
      </c>
    </row>
    <row r="21" spans="1:9">
      <c r="A21" s="806"/>
      <c r="B21" s="125" t="s">
        <v>41</v>
      </c>
      <c r="C21" s="124" t="s">
        <v>42</v>
      </c>
      <c r="D21" s="124" t="s">
        <v>43</v>
      </c>
      <c r="E21" s="124" t="s">
        <v>25</v>
      </c>
      <c r="F21" s="124" t="s">
        <v>44</v>
      </c>
      <c r="G21" s="808"/>
    </row>
    <row r="22" spans="1:9">
      <c r="A22" s="115" t="s">
        <v>46</v>
      </c>
      <c r="B22" s="117"/>
      <c r="C22" s="117"/>
      <c r="D22" s="117"/>
      <c r="E22" s="116">
        <v>45</v>
      </c>
      <c r="F22" s="117">
        <v>29</v>
      </c>
      <c r="G22" s="117">
        <f t="shared" ref="G22:G28" si="2">SUM(B22:F22)</f>
        <v>74</v>
      </c>
      <c r="I22">
        <v>14</v>
      </c>
    </row>
    <row r="23" spans="1:9">
      <c r="A23" s="126" t="s">
        <v>48</v>
      </c>
      <c r="B23" s="127"/>
      <c r="C23" s="116">
        <v>232</v>
      </c>
      <c r="D23" s="127"/>
      <c r="E23" s="127"/>
      <c r="F23" s="127"/>
      <c r="G23" s="127">
        <f t="shared" si="2"/>
        <v>232</v>
      </c>
      <c r="I23">
        <v>15</v>
      </c>
    </row>
    <row r="24" spans="1:9">
      <c r="A24" s="126" t="s">
        <v>50</v>
      </c>
      <c r="B24" s="127"/>
      <c r="C24" s="128">
        <v>389</v>
      </c>
      <c r="D24" s="127"/>
      <c r="E24" s="127"/>
      <c r="F24" s="128">
        <v>12</v>
      </c>
      <c r="G24" s="127">
        <f t="shared" si="2"/>
        <v>401</v>
      </c>
      <c r="I24">
        <f>SUM(I22:I23)</f>
        <v>29</v>
      </c>
    </row>
    <row r="25" spans="1:9">
      <c r="A25" s="49" t="s">
        <v>384</v>
      </c>
      <c r="B25" s="49">
        <f>SUM(B22:B24)</f>
        <v>0</v>
      </c>
      <c r="C25" s="49">
        <f>SUM(C22:C24)</f>
        <v>621</v>
      </c>
      <c r="D25" s="49">
        <f>SUM(D22:D24)</f>
        <v>0</v>
      </c>
      <c r="E25" s="49">
        <f>SUM(E22:E24)</f>
        <v>45</v>
      </c>
      <c r="F25" s="49">
        <f>SUM(F22:F24)</f>
        <v>41</v>
      </c>
      <c r="G25" s="49">
        <f t="shared" si="2"/>
        <v>707</v>
      </c>
    </row>
    <row r="26" spans="1:9">
      <c r="A26" s="126" t="s">
        <v>53</v>
      </c>
      <c r="B26" s="127"/>
      <c r="C26" s="128">
        <v>31</v>
      </c>
      <c r="D26" s="127"/>
      <c r="E26" s="128">
        <v>26</v>
      </c>
      <c r="F26" s="127"/>
      <c r="G26" s="127">
        <f t="shared" si="2"/>
        <v>57</v>
      </c>
    </row>
    <row r="27" spans="1:9">
      <c r="A27" s="126" t="s">
        <v>55</v>
      </c>
      <c r="B27" s="127"/>
      <c r="C27" s="127"/>
      <c r="D27" s="127"/>
      <c r="E27" s="127"/>
      <c r="F27" s="127"/>
      <c r="G27" s="127">
        <f t="shared" si="2"/>
        <v>0</v>
      </c>
    </row>
    <row r="28" spans="1:9">
      <c r="A28" s="126" t="s">
        <v>57</v>
      </c>
      <c r="B28" s="128">
        <f>128-27</f>
        <v>101</v>
      </c>
      <c r="C28" s="128">
        <v>27</v>
      </c>
      <c r="D28" s="127"/>
      <c r="E28" s="127"/>
      <c r="F28" s="127"/>
      <c r="G28" s="127">
        <f t="shared" si="2"/>
        <v>128</v>
      </c>
    </row>
    <row r="29" spans="1:9">
      <c r="A29" s="129" t="s">
        <v>388</v>
      </c>
      <c r="B29" s="49">
        <f t="shared" ref="B29:G29" si="3">SUM(B26:B28)</f>
        <v>101</v>
      </c>
      <c r="C29" s="49">
        <f t="shared" si="3"/>
        <v>58</v>
      </c>
      <c r="D29" s="49">
        <f t="shared" si="3"/>
        <v>0</v>
      </c>
      <c r="E29" s="49">
        <f t="shared" si="3"/>
        <v>26</v>
      </c>
      <c r="F29" s="49">
        <f t="shared" si="3"/>
        <v>0</v>
      </c>
      <c r="G29" s="49">
        <f t="shared" si="3"/>
        <v>185</v>
      </c>
    </row>
    <row r="30" spans="1:9">
      <c r="A30" s="119" t="s">
        <v>21</v>
      </c>
      <c r="B30" s="118">
        <f t="shared" ref="B30:G30" si="4">SUM(B25,B29)</f>
        <v>101</v>
      </c>
      <c r="C30" s="118">
        <f t="shared" si="4"/>
        <v>679</v>
      </c>
      <c r="D30" s="118">
        <f t="shared" si="4"/>
        <v>0</v>
      </c>
      <c r="E30" s="118">
        <f t="shared" si="4"/>
        <v>71</v>
      </c>
      <c r="F30" s="118">
        <f t="shared" si="4"/>
        <v>41</v>
      </c>
      <c r="G30" s="118">
        <f t="shared" si="4"/>
        <v>892</v>
      </c>
    </row>
    <row r="31" spans="1:9">
      <c r="A31" s="122"/>
      <c r="B31" s="123"/>
      <c r="C31" s="123"/>
      <c r="D31" s="123"/>
      <c r="E31" s="123"/>
      <c r="F31" s="123"/>
      <c r="G31" s="123"/>
    </row>
    <row r="32" spans="1:9">
      <c r="A32" s="122" t="s">
        <v>390</v>
      </c>
      <c r="B32" s="123"/>
      <c r="C32" s="123"/>
      <c r="D32" s="123"/>
      <c r="E32" s="123"/>
      <c r="F32" s="123">
        <f>E30+F30</f>
        <v>112</v>
      </c>
      <c r="G32" s="123"/>
    </row>
    <row r="33" spans="1:7">
      <c r="A33" s="130"/>
      <c r="B33" s="131"/>
      <c r="C33" s="131"/>
      <c r="D33" s="131"/>
      <c r="E33" s="131"/>
      <c r="F33" s="131"/>
      <c r="G33" s="131"/>
    </row>
    <row r="34" spans="1:7">
      <c r="A34" s="132"/>
      <c r="B34" s="133"/>
      <c r="C34" s="133"/>
      <c r="D34" s="133"/>
      <c r="E34" s="133"/>
      <c r="F34" s="133"/>
      <c r="G34" s="133"/>
    </row>
    <row r="35" spans="1:7">
      <c r="A35" s="132"/>
      <c r="B35" s="133"/>
      <c r="C35" s="133"/>
      <c r="D35" s="133"/>
      <c r="E35" s="133"/>
      <c r="F35" s="133"/>
      <c r="G35" s="133"/>
    </row>
    <row r="36" spans="1:7">
      <c r="A36" s="130"/>
      <c r="B36" s="131"/>
      <c r="C36" s="131"/>
      <c r="D36" s="131"/>
      <c r="E36" s="131"/>
      <c r="F36" s="131"/>
      <c r="G36" s="131"/>
    </row>
    <row r="37" spans="1:7">
      <c r="A37" s="132"/>
      <c r="B37" s="133"/>
      <c r="C37" s="133"/>
      <c r="D37" s="133"/>
      <c r="E37" s="133"/>
      <c r="F37" s="133"/>
      <c r="G37" s="133"/>
    </row>
    <row r="38" spans="1:7">
      <c r="A38" s="132"/>
      <c r="B38" s="133"/>
      <c r="C38" s="133"/>
      <c r="D38" s="133"/>
      <c r="E38" s="133"/>
      <c r="F38" s="133"/>
      <c r="G38" s="133"/>
    </row>
    <row r="39" spans="1:7">
      <c r="A39" s="132"/>
      <c r="B39" s="133"/>
      <c r="C39" s="133"/>
      <c r="D39" s="133"/>
      <c r="E39" s="133"/>
      <c r="F39" s="133"/>
      <c r="G39" s="133"/>
    </row>
    <row r="40" spans="1:7">
      <c r="A40" s="132"/>
      <c r="B40" s="133"/>
      <c r="C40" s="133"/>
      <c r="D40" s="133"/>
      <c r="E40" s="133"/>
      <c r="F40" s="133"/>
      <c r="G40" s="133"/>
    </row>
    <row r="41" spans="1:7">
      <c r="A41" s="134"/>
      <c r="B41" s="135"/>
      <c r="C41" s="135"/>
      <c r="D41" s="135"/>
      <c r="E41" s="135"/>
      <c r="F41" s="135"/>
      <c r="G41" s="135"/>
    </row>
    <row r="42" spans="1:7">
      <c r="A42" s="136"/>
      <c r="B42" s="88"/>
      <c r="C42" s="88"/>
      <c r="D42" s="88"/>
      <c r="E42" s="88"/>
      <c r="F42" s="88"/>
      <c r="G42" s="88"/>
    </row>
    <row r="43" spans="1:7">
      <c r="A43" s="136"/>
      <c r="B43" s="88"/>
      <c r="C43" s="88"/>
      <c r="D43" s="88"/>
      <c r="E43" s="88"/>
      <c r="F43" s="88"/>
      <c r="G43" s="88"/>
    </row>
    <row r="44" spans="1:7">
      <c r="A44" s="137"/>
      <c r="B44" s="138"/>
      <c r="C44" s="138"/>
      <c r="D44" s="138"/>
      <c r="E44" s="138"/>
      <c r="F44" s="138"/>
      <c r="G44" s="138"/>
    </row>
    <row r="45" spans="1:7">
      <c r="A45" s="137"/>
      <c r="B45" s="138"/>
      <c r="C45" s="138"/>
      <c r="D45" s="138"/>
      <c r="E45" s="138"/>
      <c r="F45" s="138"/>
      <c r="G45" s="138"/>
    </row>
    <row r="46" spans="1:7">
      <c r="A46" s="134"/>
      <c r="B46" s="135"/>
      <c r="C46" s="135"/>
      <c r="D46" s="135"/>
      <c r="E46" s="135"/>
      <c r="F46" s="135"/>
      <c r="G46" s="135"/>
    </row>
    <row r="47" spans="1:7">
      <c r="A47" s="136"/>
      <c r="B47" s="88"/>
      <c r="C47" s="88"/>
      <c r="D47" s="88"/>
      <c r="E47" s="88"/>
      <c r="F47" s="88"/>
      <c r="G47" s="88"/>
    </row>
    <row r="48" spans="1:7">
      <c r="A48" s="136"/>
      <c r="B48" s="88"/>
      <c r="C48" s="88"/>
      <c r="D48" s="88"/>
      <c r="E48" s="88"/>
      <c r="F48" s="88"/>
      <c r="G48" s="88"/>
    </row>
    <row r="49" spans="1:7">
      <c r="A49" s="134"/>
      <c r="B49" s="135"/>
      <c r="C49" s="135"/>
      <c r="D49" s="135"/>
      <c r="E49" s="135"/>
      <c r="F49" s="135"/>
      <c r="G49" s="135"/>
    </row>
    <row r="50" spans="1:7">
      <c r="A50" s="139"/>
      <c r="B50" s="140"/>
      <c r="C50" s="140"/>
      <c r="D50" s="140"/>
      <c r="E50" s="140"/>
      <c r="F50" s="140"/>
      <c r="G50" s="140"/>
    </row>
    <row r="51" spans="1:7">
      <c r="A51" s="132"/>
      <c r="B51" s="133"/>
      <c r="C51" s="133"/>
      <c r="D51" s="133"/>
      <c r="E51" s="133"/>
      <c r="F51" s="133"/>
      <c r="G51" s="133"/>
    </row>
    <row r="52" spans="1:7">
      <c r="A52" s="132"/>
      <c r="B52" s="133"/>
      <c r="C52" s="133"/>
      <c r="D52" s="133"/>
      <c r="E52" s="133"/>
      <c r="F52" s="133"/>
      <c r="G52" s="133"/>
    </row>
    <row r="53" spans="1:7">
      <c r="A53" s="132"/>
      <c r="B53" s="133"/>
      <c r="C53" s="133"/>
      <c r="D53" s="133"/>
      <c r="E53" s="133"/>
      <c r="F53" s="133"/>
      <c r="G53" s="133"/>
    </row>
    <row r="54" spans="1:7">
      <c r="A54" s="132"/>
      <c r="B54" s="133"/>
      <c r="C54" s="133"/>
      <c r="D54" s="133"/>
      <c r="E54" s="133"/>
      <c r="F54" s="133"/>
      <c r="G54" s="133"/>
    </row>
    <row r="55" spans="1:7">
      <c r="A55" s="132"/>
      <c r="B55" s="133"/>
      <c r="C55" s="133"/>
      <c r="D55" s="133"/>
      <c r="E55" s="133"/>
      <c r="F55" s="133"/>
      <c r="G55" s="133"/>
    </row>
    <row r="56" spans="1:7">
      <c r="A56" s="132"/>
      <c r="B56" s="133"/>
      <c r="C56" s="133"/>
      <c r="D56" s="133"/>
      <c r="E56" s="133"/>
      <c r="F56" s="133"/>
      <c r="G56" s="133"/>
    </row>
    <row r="57" spans="1:7">
      <c r="A57" s="132"/>
      <c r="B57" s="133"/>
      <c r="C57" s="133"/>
      <c r="D57" s="133"/>
      <c r="E57" s="133"/>
      <c r="F57" s="133"/>
      <c r="G57" s="133"/>
    </row>
    <row r="58" spans="1:7">
      <c r="A58" s="132"/>
      <c r="B58" s="133"/>
      <c r="C58" s="133"/>
      <c r="D58" s="133"/>
      <c r="E58" s="133"/>
      <c r="F58" s="133"/>
      <c r="G58" s="133"/>
    </row>
    <row r="59" spans="1:7">
      <c r="A59" s="132"/>
      <c r="B59" s="133"/>
      <c r="C59" s="133"/>
      <c r="D59" s="133"/>
      <c r="E59" s="133"/>
      <c r="F59" s="133"/>
      <c r="G59" s="133"/>
    </row>
    <row r="60" spans="1:7">
      <c r="A60" s="139"/>
      <c r="B60" s="140"/>
      <c r="C60" s="140"/>
      <c r="D60" s="140"/>
      <c r="E60" s="140"/>
      <c r="F60" s="140"/>
      <c r="G60" s="140"/>
    </row>
    <row r="61" spans="1:7">
      <c r="A61" s="132"/>
      <c r="B61" s="133"/>
      <c r="C61" s="133"/>
      <c r="D61" s="133"/>
      <c r="E61" s="133"/>
      <c r="F61" s="133"/>
      <c r="G61" s="133"/>
    </row>
    <row r="62" spans="1:7">
      <c r="A62" s="132"/>
      <c r="B62" s="133"/>
      <c r="C62" s="133"/>
      <c r="D62" s="133"/>
      <c r="E62" s="133"/>
      <c r="F62" s="133"/>
      <c r="G62" s="133"/>
    </row>
    <row r="63" spans="1:7">
      <c r="A63" s="132"/>
      <c r="B63" s="133"/>
      <c r="C63" s="133"/>
      <c r="D63" s="133"/>
      <c r="E63" s="133"/>
      <c r="F63" s="133"/>
      <c r="G63" s="133"/>
    </row>
    <row r="64" spans="1:7">
      <c r="A64" s="132"/>
      <c r="B64" s="133"/>
      <c r="C64" s="133"/>
      <c r="D64" s="133"/>
      <c r="E64" s="133"/>
      <c r="F64" s="133"/>
      <c r="G64" s="133"/>
    </row>
    <row r="65" spans="1:7">
      <c r="A65" s="130"/>
      <c r="B65" s="131"/>
      <c r="C65" s="131"/>
      <c r="D65" s="131"/>
      <c r="E65" s="131"/>
      <c r="F65" s="131"/>
      <c r="G65" s="131"/>
    </row>
    <row r="66" spans="1:7">
      <c r="A66" s="132"/>
      <c r="B66" s="133"/>
      <c r="C66" s="133"/>
      <c r="D66" s="133"/>
      <c r="E66" s="133"/>
      <c r="F66" s="133"/>
      <c r="G66" s="133"/>
    </row>
    <row r="67" spans="1:7">
      <c r="A67" s="132"/>
      <c r="B67" s="133"/>
      <c r="C67" s="133"/>
      <c r="D67" s="133"/>
      <c r="E67" s="133"/>
      <c r="F67" s="133"/>
      <c r="G67" s="133"/>
    </row>
    <row r="68" spans="1:7">
      <c r="A68" s="130"/>
      <c r="B68" s="131"/>
      <c r="C68" s="131"/>
      <c r="D68" s="131"/>
      <c r="E68" s="131"/>
      <c r="F68" s="131"/>
      <c r="G68" s="131"/>
    </row>
    <row r="69" spans="1:7">
      <c r="A69" s="134"/>
      <c r="B69" s="135"/>
      <c r="C69" s="135"/>
      <c r="D69" s="135"/>
      <c r="E69" s="135"/>
      <c r="F69" s="135"/>
      <c r="G69" s="135"/>
    </row>
    <row r="70" spans="1:7">
      <c r="A70" s="130"/>
      <c r="B70" s="131"/>
      <c r="C70" s="131"/>
      <c r="D70" s="131"/>
      <c r="E70" s="131"/>
      <c r="F70" s="131"/>
      <c r="G70" s="131"/>
    </row>
    <row r="71" spans="1:7">
      <c r="A71" s="130"/>
      <c r="B71" s="131"/>
      <c r="C71" s="131"/>
      <c r="D71" s="131"/>
      <c r="E71" s="131"/>
      <c r="F71" s="131"/>
      <c r="G71" s="131"/>
    </row>
    <row r="72" spans="1:7">
      <c r="A72" s="130"/>
      <c r="B72" s="131"/>
      <c r="C72" s="131"/>
      <c r="D72" s="131"/>
      <c r="E72" s="131"/>
      <c r="F72" s="131"/>
      <c r="G72" s="131"/>
    </row>
    <row r="73" spans="1:7">
      <c r="A73" s="134"/>
      <c r="B73" s="135"/>
      <c r="C73" s="135"/>
      <c r="D73" s="135"/>
      <c r="E73" s="135"/>
      <c r="F73" s="135"/>
      <c r="G73" s="135"/>
    </row>
    <row r="74" spans="1:7">
      <c r="A74" s="139"/>
      <c r="B74" s="140"/>
      <c r="C74" s="140"/>
      <c r="D74" s="140"/>
      <c r="E74" s="140"/>
      <c r="F74" s="140"/>
      <c r="G74" s="140"/>
    </row>
    <row r="75" spans="1:7">
      <c r="A75" s="132"/>
      <c r="B75" s="133"/>
      <c r="C75" s="133"/>
      <c r="D75" s="133"/>
      <c r="E75" s="133"/>
      <c r="F75" s="133"/>
      <c r="G75" s="133"/>
    </row>
    <row r="76" spans="1:7">
      <c r="A76" s="130"/>
      <c r="B76" s="131"/>
      <c r="C76" s="131"/>
      <c r="D76" s="131"/>
      <c r="E76" s="131"/>
      <c r="F76" s="131"/>
      <c r="G76" s="131"/>
    </row>
    <row r="77" spans="1:7">
      <c r="A77" s="130"/>
      <c r="B77" s="131"/>
      <c r="C77" s="131"/>
      <c r="D77" s="131"/>
      <c r="E77" s="131"/>
      <c r="F77" s="131"/>
      <c r="G77" s="131"/>
    </row>
    <row r="78" spans="1:7">
      <c r="A78" s="130"/>
      <c r="B78" s="131"/>
      <c r="C78" s="131"/>
      <c r="D78" s="131"/>
      <c r="E78" s="131"/>
      <c r="F78" s="131"/>
      <c r="G78" s="131"/>
    </row>
    <row r="79" spans="1:7">
      <c r="A79" s="130"/>
      <c r="B79" s="131"/>
      <c r="C79" s="131"/>
      <c r="D79" s="131"/>
      <c r="E79" s="131"/>
      <c r="F79" s="131"/>
      <c r="G79" s="131"/>
    </row>
    <row r="80" spans="1:7">
      <c r="A80" s="130"/>
      <c r="B80" s="131"/>
      <c r="C80" s="131"/>
      <c r="D80" s="131"/>
      <c r="E80" s="131"/>
      <c r="F80" s="131"/>
      <c r="G80" s="131"/>
    </row>
    <row r="81" spans="1:7">
      <c r="A81" s="130"/>
      <c r="B81" s="131"/>
      <c r="C81" s="131"/>
      <c r="D81" s="131"/>
      <c r="E81" s="131"/>
      <c r="F81" s="131"/>
      <c r="G81" s="131"/>
    </row>
    <row r="82" spans="1:7">
      <c r="A82" s="130"/>
      <c r="B82" s="131"/>
      <c r="C82" s="131"/>
      <c r="D82" s="131"/>
      <c r="E82" s="131"/>
      <c r="F82" s="131"/>
      <c r="G82" s="131"/>
    </row>
    <row r="83" spans="1:7">
      <c r="A83" s="132"/>
      <c r="B83" s="133"/>
      <c r="C83" s="133"/>
      <c r="D83" s="133"/>
      <c r="E83" s="133"/>
      <c r="F83" s="133"/>
      <c r="G83" s="133"/>
    </row>
    <row r="84" spans="1:7">
      <c r="A84" s="132"/>
      <c r="B84" s="133"/>
      <c r="C84" s="133"/>
      <c r="D84" s="133"/>
      <c r="E84" s="133"/>
      <c r="F84" s="133"/>
      <c r="G84" s="133"/>
    </row>
    <row r="85" spans="1:7">
      <c r="A85" s="130"/>
      <c r="B85" s="131"/>
      <c r="C85" s="131"/>
      <c r="D85" s="131"/>
      <c r="E85" s="131"/>
      <c r="F85" s="131"/>
      <c r="G85" s="131"/>
    </row>
    <row r="86" spans="1:7">
      <c r="A86" s="130"/>
      <c r="B86" s="131"/>
      <c r="C86" s="131"/>
      <c r="D86" s="131"/>
      <c r="E86" s="131"/>
      <c r="F86" s="131"/>
      <c r="G86" s="131"/>
    </row>
    <row r="87" spans="1:7">
      <c r="A87" s="132"/>
      <c r="B87" s="133"/>
      <c r="C87" s="133"/>
      <c r="D87" s="133"/>
      <c r="E87" s="133"/>
      <c r="F87" s="133"/>
      <c r="G87" s="133"/>
    </row>
    <row r="88" spans="1:7">
      <c r="A88" s="130"/>
      <c r="B88" s="131"/>
      <c r="C88" s="131"/>
      <c r="D88" s="131"/>
      <c r="E88" s="131"/>
      <c r="F88" s="131"/>
      <c r="G88" s="131"/>
    </row>
    <row r="89" spans="1:7">
      <c r="A89" s="130"/>
      <c r="B89" s="131"/>
      <c r="C89" s="131"/>
      <c r="D89" s="131"/>
      <c r="E89" s="131"/>
      <c r="F89" s="131"/>
      <c r="G89" s="131"/>
    </row>
    <row r="90" spans="1:7">
      <c r="A90" s="134"/>
      <c r="B90" s="135"/>
      <c r="C90" s="135"/>
      <c r="D90" s="135"/>
      <c r="E90" s="135"/>
      <c r="F90" s="135"/>
      <c r="G90" s="135"/>
    </row>
    <row r="91" spans="1:7">
      <c r="A91" s="139"/>
      <c r="B91" s="140"/>
      <c r="C91" s="140"/>
      <c r="D91" s="140"/>
      <c r="E91" s="140"/>
      <c r="F91" s="140"/>
      <c r="G91" s="140"/>
    </row>
    <row r="92" spans="1:7">
      <c r="A92" s="132"/>
      <c r="B92" s="133"/>
      <c r="C92" s="133"/>
      <c r="D92" s="133"/>
      <c r="E92" s="133"/>
      <c r="F92" s="133"/>
      <c r="G92" s="133"/>
    </row>
    <row r="93" spans="1:7">
      <c r="A93" s="132"/>
      <c r="B93" s="133"/>
      <c r="C93" s="133"/>
      <c r="D93" s="133"/>
      <c r="E93" s="133"/>
      <c r="F93" s="133"/>
      <c r="G93" s="133"/>
    </row>
    <row r="94" spans="1:7">
      <c r="A94" s="132"/>
      <c r="B94" s="133"/>
      <c r="C94" s="133"/>
      <c r="D94" s="133"/>
      <c r="E94" s="133"/>
      <c r="F94" s="133"/>
      <c r="G94" s="133"/>
    </row>
    <row r="95" spans="1:7">
      <c r="A95" s="132"/>
      <c r="B95" s="133"/>
      <c r="C95" s="133"/>
      <c r="D95" s="133"/>
      <c r="E95" s="133"/>
      <c r="F95" s="133"/>
      <c r="G95" s="133"/>
    </row>
    <row r="96" spans="1:7">
      <c r="A96" s="132"/>
      <c r="B96" s="133"/>
      <c r="C96" s="133"/>
      <c r="D96" s="133"/>
      <c r="E96" s="133"/>
      <c r="F96" s="133"/>
      <c r="G96" s="133"/>
    </row>
    <row r="97" spans="1:7">
      <c r="A97" s="132"/>
      <c r="B97" s="133"/>
      <c r="C97" s="133"/>
      <c r="D97" s="133"/>
      <c r="E97" s="133"/>
      <c r="F97" s="133"/>
      <c r="G97" s="133"/>
    </row>
    <row r="98" spans="1:7">
      <c r="A98" s="132"/>
      <c r="B98" s="133"/>
      <c r="C98" s="133"/>
      <c r="D98" s="133"/>
      <c r="E98" s="133"/>
      <c r="F98" s="133"/>
      <c r="G98" s="133"/>
    </row>
    <row r="99" spans="1:7">
      <c r="A99" s="132"/>
      <c r="B99" s="133"/>
      <c r="C99" s="133"/>
      <c r="D99" s="133"/>
      <c r="E99" s="133"/>
      <c r="F99" s="133"/>
      <c r="G99" s="133"/>
    </row>
    <row r="100" spans="1:7">
      <c r="A100" s="132"/>
      <c r="B100" s="133"/>
      <c r="C100" s="133"/>
      <c r="D100" s="133"/>
      <c r="E100" s="133"/>
      <c r="F100" s="133"/>
      <c r="G100" s="133"/>
    </row>
    <row r="101" spans="1:7">
      <c r="A101" s="132"/>
      <c r="B101" s="133"/>
      <c r="C101" s="133"/>
      <c r="D101" s="133"/>
      <c r="E101" s="133"/>
      <c r="F101" s="133"/>
      <c r="G101" s="133"/>
    </row>
    <row r="102" spans="1:7">
      <c r="A102" s="130"/>
      <c r="B102" s="131"/>
      <c r="C102" s="131"/>
      <c r="D102" s="131"/>
      <c r="E102" s="131"/>
      <c r="F102" s="131"/>
      <c r="G102" s="131"/>
    </row>
    <row r="103" spans="1:7">
      <c r="A103" s="132"/>
      <c r="B103" s="133"/>
      <c r="C103" s="133"/>
      <c r="D103" s="133"/>
      <c r="E103" s="133"/>
      <c r="F103" s="133"/>
      <c r="G103" s="133"/>
    </row>
    <row r="104" spans="1:7">
      <c r="A104" s="132"/>
      <c r="B104" s="133"/>
      <c r="C104" s="133"/>
      <c r="D104" s="133"/>
      <c r="E104" s="133"/>
      <c r="F104" s="133"/>
      <c r="G104" s="133"/>
    </row>
    <row r="105" spans="1:7">
      <c r="A105" s="134"/>
      <c r="B105" s="135"/>
      <c r="C105" s="135"/>
      <c r="D105" s="135"/>
      <c r="E105" s="135"/>
      <c r="F105" s="135"/>
      <c r="G105" s="135"/>
    </row>
    <row r="106" spans="1:7">
      <c r="A106" s="139"/>
      <c r="B106" s="140"/>
      <c r="C106" s="140"/>
      <c r="D106" s="140"/>
      <c r="E106" s="140"/>
      <c r="F106" s="140"/>
      <c r="G106" s="140"/>
    </row>
    <row r="107" spans="1:7">
      <c r="A107" s="130"/>
      <c r="B107" s="131"/>
      <c r="C107" s="131"/>
      <c r="D107" s="131"/>
      <c r="E107" s="131"/>
      <c r="F107" s="131"/>
      <c r="G107" s="131"/>
    </row>
    <row r="108" spans="1:7">
      <c r="A108" s="132"/>
      <c r="B108" s="133"/>
      <c r="C108" s="133"/>
      <c r="D108" s="133"/>
      <c r="E108" s="133"/>
      <c r="F108" s="133"/>
      <c r="G108" s="133"/>
    </row>
    <row r="109" spans="1:7">
      <c r="A109" s="130"/>
      <c r="B109" s="131"/>
      <c r="C109" s="131"/>
      <c r="D109" s="131"/>
      <c r="E109" s="131"/>
      <c r="F109" s="131"/>
      <c r="G109" s="131"/>
    </row>
    <row r="110" spans="1:7">
      <c r="A110" s="132"/>
      <c r="B110" s="133"/>
      <c r="C110" s="133"/>
      <c r="D110" s="133"/>
      <c r="E110" s="133"/>
      <c r="F110" s="133"/>
      <c r="G110" s="133"/>
    </row>
    <row r="111" spans="1:7">
      <c r="A111" s="132"/>
      <c r="B111" s="133"/>
      <c r="C111" s="133"/>
      <c r="D111" s="133"/>
      <c r="E111" s="133"/>
      <c r="F111" s="133"/>
      <c r="G111" s="133"/>
    </row>
    <row r="112" spans="1:7">
      <c r="A112" s="132"/>
      <c r="B112" s="133"/>
      <c r="C112" s="133"/>
      <c r="D112" s="133"/>
      <c r="E112" s="133"/>
      <c r="F112" s="133"/>
      <c r="G112" s="133"/>
    </row>
    <row r="113" spans="1:7">
      <c r="A113" s="132"/>
      <c r="B113" s="131"/>
      <c r="C113" s="131"/>
      <c r="D113" s="131"/>
      <c r="E113" s="131"/>
      <c r="F113" s="131"/>
      <c r="G113" s="131"/>
    </row>
    <row r="114" spans="1:7">
      <c r="A114" s="130"/>
      <c r="B114" s="131"/>
      <c r="C114" s="131"/>
      <c r="D114" s="131"/>
      <c r="E114" s="131"/>
      <c r="F114" s="131"/>
      <c r="G114" s="131"/>
    </row>
    <row r="115" spans="1:7">
      <c r="A115" s="132"/>
      <c r="B115" s="131"/>
      <c r="C115" s="131"/>
      <c r="D115" s="131"/>
      <c r="E115" s="131"/>
      <c r="F115" s="131"/>
      <c r="G115" s="131"/>
    </row>
    <row r="116" spans="1:7">
      <c r="A116" s="132"/>
      <c r="B116" s="133"/>
      <c r="C116" s="133"/>
      <c r="D116" s="133"/>
      <c r="E116" s="133"/>
      <c r="F116" s="133"/>
      <c r="G116" s="133"/>
    </row>
    <row r="117" spans="1:7">
      <c r="A117" s="132"/>
      <c r="B117" s="131"/>
      <c r="C117" s="131"/>
      <c r="D117" s="131"/>
      <c r="E117" s="131"/>
      <c r="F117" s="131"/>
      <c r="G117" s="131"/>
    </row>
    <row r="118" spans="1:7">
      <c r="A118" s="132"/>
      <c r="B118" s="131"/>
      <c r="C118" s="131"/>
      <c r="D118" s="131"/>
      <c r="E118" s="131"/>
      <c r="F118" s="131"/>
      <c r="G118" s="131"/>
    </row>
    <row r="119" spans="1:7">
      <c r="A119" s="139"/>
      <c r="B119" s="140"/>
      <c r="C119" s="140"/>
      <c r="D119" s="140"/>
      <c r="E119" s="140"/>
      <c r="F119" s="140"/>
      <c r="G119" s="140"/>
    </row>
    <row r="120" spans="1:7">
      <c r="A120" s="130"/>
      <c r="B120" s="131"/>
      <c r="C120" s="131"/>
      <c r="D120" s="131"/>
      <c r="E120" s="131"/>
      <c r="F120" s="131"/>
      <c r="G120" s="131"/>
    </row>
    <row r="121" spans="1:7">
      <c r="A121" s="130"/>
      <c r="B121" s="131"/>
      <c r="C121" s="131"/>
      <c r="D121" s="131"/>
      <c r="E121" s="131"/>
      <c r="F121" s="131"/>
      <c r="G121" s="131"/>
    </row>
    <row r="122" spans="1:7">
      <c r="A122" s="130"/>
      <c r="B122" s="131"/>
      <c r="C122" s="131"/>
      <c r="D122" s="131"/>
      <c r="E122" s="131"/>
      <c r="F122" s="131"/>
      <c r="G122" s="131"/>
    </row>
    <row r="123" spans="1:7">
      <c r="A123" s="130"/>
      <c r="B123" s="131"/>
      <c r="C123" s="131"/>
      <c r="D123" s="131"/>
      <c r="E123" s="131"/>
      <c r="F123" s="131"/>
      <c r="G123" s="131"/>
    </row>
    <row r="124" spans="1:7">
      <c r="A124" s="134"/>
      <c r="B124" s="135"/>
      <c r="C124" s="135"/>
      <c r="D124" s="135"/>
      <c r="E124" s="135"/>
      <c r="F124" s="135"/>
      <c r="G124" s="135"/>
    </row>
    <row r="125" spans="1:7">
      <c r="A125" s="130"/>
      <c r="B125" s="131"/>
      <c r="C125" s="131"/>
      <c r="D125" s="131"/>
      <c r="E125" s="131"/>
      <c r="F125" s="131"/>
      <c r="G125" s="131"/>
    </row>
    <row r="126" spans="1:7">
      <c r="A126" s="130"/>
      <c r="B126" s="131"/>
      <c r="C126" s="131"/>
      <c r="D126" s="131"/>
      <c r="E126" s="131"/>
      <c r="F126" s="131"/>
      <c r="G126" s="131"/>
    </row>
    <row r="127" spans="1:7">
      <c r="A127" s="130"/>
      <c r="B127" s="131"/>
      <c r="C127" s="131"/>
      <c r="D127" s="131"/>
      <c r="E127" s="131"/>
      <c r="F127" s="131"/>
      <c r="G127" s="131"/>
    </row>
    <row r="128" spans="1:7">
      <c r="A128" s="134"/>
      <c r="B128" s="135"/>
      <c r="C128" s="135"/>
      <c r="D128" s="135"/>
      <c r="E128" s="135"/>
      <c r="F128" s="135"/>
      <c r="G128" s="135"/>
    </row>
    <row r="129" spans="1:7">
      <c r="A129" s="139"/>
      <c r="B129" s="141"/>
      <c r="C129" s="140"/>
      <c r="D129" s="140"/>
      <c r="E129" s="140"/>
      <c r="F129" s="140"/>
      <c r="G129" s="140"/>
    </row>
  </sheetData>
  <mergeCells count="8">
    <mergeCell ref="A2:G2"/>
    <mergeCell ref="B4:F4"/>
    <mergeCell ref="A19:G19"/>
    <mergeCell ref="B20:F20"/>
    <mergeCell ref="A4:A5"/>
    <mergeCell ref="A20:A21"/>
    <mergeCell ref="G4:G5"/>
    <mergeCell ref="G20:G21"/>
  </mergeCells>
  <printOptions horizontalCentered="1"/>
  <pageMargins left="0.70866141732283505" right="0.70866141732283505" top="0.74803149606299202" bottom="0.74803149606299202" header="0.31496062992126" footer="0.31496062992126"/>
  <pageSetup paperSize="9" scale="9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5"/>
  <sheetViews>
    <sheetView workbookViewId="0">
      <selection activeCell="K18" sqref="K18"/>
    </sheetView>
  </sheetViews>
  <sheetFormatPr defaultColWidth="9" defaultRowHeight="12.75"/>
  <cols>
    <col min="1" max="1" width="24" customWidth="1"/>
  </cols>
  <sheetData>
    <row r="4" spans="1:28">
      <c r="A4" s="102" t="s">
        <v>46</v>
      </c>
      <c r="B4" s="103">
        <v>525</v>
      </c>
      <c r="C4" s="103">
        <v>629</v>
      </c>
      <c r="D4" s="103">
        <v>520</v>
      </c>
      <c r="E4" s="103">
        <v>1156</v>
      </c>
      <c r="F4" s="103">
        <v>824</v>
      </c>
      <c r="G4" s="103">
        <v>30</v>
      </c>
      <c r="H4" s="103">
        <v>3684</v>
      </c>
      <c r="I4" s="103">
        <f t="shared" ref="I4:I11" si="0">C4+D4+E4+F4+G4</f>
        <v>3159</v>
      </c>
      <c r="J4" s="103">
        <f>I4</f>
        <v>3159</v>
      </c>
      <c r="K4" s="103"/>
      <c r="L4" s="103">
        <v>3846</v>
      </c>
      <c r="M4" s="103" t="s">
        <v>48</v>
      </c>
      <c r="N4" s="103"/>
      <c r="O4" s="103">
        <v>530</v>
      </c>
      <c r="P4" s="103"/>
      <c r="Q4" s="103"/>
      <c r="R4" s="103"/>
      <c r="S4" s="103">
        <v>530</v>
      </c>
      <c r="T4" s="103"/>
      <c r="U4" s="103"/>
      <c r="V4" s="104">
        <v>612</v>
      </c>
      <c r="W4" s="103">
        <v>1215</v>
      </c>
      <c r="X4" s="103">
        <v>859</v>
      </c>
      <c r="Y4" s="103">
        <v>633</v>
      </c>
      <c r="Z4" s="103">
        <v>390</v>
      </c>
      <c r="AA4" s="104"/>
    </row>
    <row r="5" spans="1:28">
      <c r="A5" s="102" t="s">
        <v>17</v>
      </c>
      <c r="B5" s="103">
        <v>491</v>
      </c>
      <c r="C5" s="103">
        <v>388</v>
      </c>
      <c r="D5" s="103">
        <v>302</v>
      </c>
      <c r="E5" s="103">
        <v>302</v>
      </c>
      <c r="F5" s="103">
        <v>80</v>
      </c>
      <c r="G5" s="103">
        <v>13</v>
      </c>
      <c r="H5" s="103">
        <v>1576</v>
      </c>
      <c r="I5" s="103">
        <f t="shared" si="0"/>
        <v>1085</v>
      </c>
      <c r="J5" s="103">
        <f>I5</f>
        <v>1085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>
        <v>452</v>
      </c>
      <c r="W5" s="103">
        <v>341</v>
      </c>
      <c r="X5" s="103">
        <v>468</v>
      </c>
      <c r="Y5" s="103">
        <v>317</v>
      </c>
      <c r="Z5" s="103">
        <v>110</v>
      </c>
      <c r="AA5" s="103"/>
      <c r="AB5" s="103"/>
    </row>
    <row r="6" spans="1:28">
      <c r="A6" s="104" t="s">
        <v>96</v>
      </c>
      <c r="B6" s="103">
        <v>247</v>
      </c>
      <c r="C6" s="103">
        <v>201</v>
      </c>
      <c r="D6" s="103">
        <v>213</v>
      </c>
      <c r="E6" s="103">
        <v>124</v>
      </c>
      <c r="F6" s="103">
        <v>26</v>
      </c>
      <c r="G6" s="103">
        <v>7</v>
      </c>
      <c r="H6" s="103">
        <v>818</v>
      </c>
      <c r="I6" s="103">
        <f t="shared" si="0"/>
        <v>571</v>
      </c>
      <c r="J6" s="103">
        <f>I6+I7</f>
        <v>692</v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4">
        <v>375</v>
      </c>
      <c r="W6" s="103">
        <v>185</v>
      </c>
      <c r="X6" s="103">
        <v>197</v>
      </c>
      <c r="Y6" s="103">
        <v>169</v>
      </c>
      <c r="Z6" s="103">
        <v>51</v>
      </c>
      <c r="AA6" s="104"/>
    </row>
    <row r="7" spans="1:28">
      <c r="A7" s="104" t="s">
        <v>106</v>
      </c>
      <c r="B7" s="103">
        <v>66</v>
      </c>
      <c r="C7" s="103">
        <v>85</v>
      </c>
      <c r="D7" s="103">
        <v>36</v>
      </c>
      <c r="E7" s="103">
        <v>0</v>
      </c>
      <c r="F7" s="103">
        <v>0</v>
      </c>
      <c r="G7" s="103">
        <v>0</v>
      </c>
      <c r="H7" s="103">
        <v>187</v>
      </c>
      <c r="I7" s="103">
        <f t="shared" si="0"/>
        <v>121</v>
      </c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>
        <v>119</v>
      </c>
      <c r="W7" s="103">
        <v>157</v>
      </c>
      <c r="X7" s="103">
        <v>99</v>
      </c>
      <c r="Y7" s="103">
        <v>19</v>
      </c>
      <c r="Z7" s="103">
        <v>1</v>
      </c>
    </row>
    <row r="8" spans="1:28">
      <c r="A8" s="104" t="s">
        <v>108</v>
      </c>
      <c r="B8" s="103">
        <v>284</v>
      </c>
      <c r="C8" s="103">
        <v>188</v>
      </c>
      <c r="D8" s="103">
        <v>160</v>
      </c>
      <c r="E8" s="103">
        <v>111</v>
      </c>
      <c r="F8" s="103">
        <v>50</v>
      </c>
      <c r="G8" s="103">
        <v>5</v>
      </c>
      <c r="H8" s="103">
        <v>666</v>
      </c>
      <c r="I8" s="103">
        <f t="shared" si="0"/>
        <v>514</v>
      </c>
      <c r="J8" s="103">
        <f>I8</f>
        <v>514</v>
      </c>
      <c r="K8" s="103"/>
      <c r="L8" s="103">
        <v>688</v>
      </c>
      <c r="M8" s="103"/>
      <c r="N8" s="103"/>
      <c r="O8" s="103"/>
      <c r="P8" s="103"/>
      <c r="Q8" s="103"/>
      <c r="R8" s="103"/>
      <c r="S8" s="103"/>
      <c r="T8" s="103"/>
      <c r="U8" s="103"/>
      <c r="X8" s="103">
        <v>666</v>
      </c>
    </row>
    <row r="9" spans="1:28">
      <c r="A9" s="104" t="s">
        <v>125</v>
      </c>
      <c r="B9" s="103">
        <v>530</v>
      </c>
      <c r="C9" s="103">
        <v>461</v>
      </c>
      <c r="D9" s="103">
        <v>394</v>
      </c>
      <c r="E9" s="103">
        <v>251</v>
      </c>
      <c r="F9" s="103">
        <v>50</v>
      </c>
      <c r="G9" s="103">
        <v>7</v>
      </c>
      <c r="H9" s="103">
        <v>1693</v>
      </c>
      <c r="I9" s="103">
        <f t="shared" si="0"/>
        <v>1163</v>
      </c>
      <c r="J9" s="103">
        <f>I9</f>
        <v>1163</v>
      </c>
      <c r="K9" s="103">
        <v>1163</v>
      </c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>
        <v>251</v>
      </c>
      <c r="W9" s="103">
        <v>117</v>
      </c>
      <c r="X9" s="103">
        <v>144</v>
      </c>
      <c r="Y9" s="103">
        <v>83</v>
      </c>
      <c r="Z9" s="103">
        <v>7</v>
      </c>
    </row>
    <row r="10" spans="1:28">
      <c r="A10" s="102" t="s">
        <v>394</v>
      </c>
      <c r="B10" s="103">
        <v>636</v>
      </c>
      <c r="C10" s="103">
        <v>458</v>
      </c>
      <c r="D10" s="103">
        <v>543</v>
      </c>
      <c r="E10" s="103">
        <v>439</v>
      </c>
      <c r="F10" s="103">
        <v>27</v>
      </c>
      <c r="G10" s="103">
        <v>11</v>
      </c>
      <c r="H10" s="103">
        <v>2114</v>
      </c>
      <c r="I10" s="103">
        <f t="shared" si="0"/>
        <v>1478</v>
      </c>
      <c r="J10" s="103">
        <f>I10+I11</f>
        <v>1628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>
        <v>723</v>
      </c>
      <c r="W10" s="103">
        <v>498</v>
      </c>
      <c r="X10" s="103">
        <v>386</v>
      </c>
      <c r="Y10" s="103">
        <v>341</v>
      </c>
      <c r="Z10" s="103">
        <v>57</v>
      </c>
    </row>
    <row r="11" spans="1:28">
      <c r="A11" s="102" t="s">
        <v>395</v>
      </c>
      <c r="B11" s="103">
        <v>153</v>
      </c>
      <c r="C11" s="103">
        <v>150</v>
      </c>
      <c r="D11" s="103">
        <v>0</v>
      </c>
      <c r="E11" s="103">
        <v>0</v>
      </c>
      <c r="F11" s="103">
        <v>0</v>
      </c>
      <c r="G11" s="103">
        <v>0</v>
      </c>
      <c r="H11" s="103">
        <v>303</v>
      </c>
      <c r="I11" s="103">
        <f t="shared" si="0"/>
        <v>150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>
        <v>304</v>
      </c>
      <c r="W11" s="103">
        <v>343</v>
      </c>
      <c r="X11" s="103">
        <v>61</v>
      </c>
      <c r="Z11" s="103">
        <v>2</v>
      </c>
    </row>
    <row r="12" spans="1:28">
      <c r="B12" s="103">
        <f t="shared" ref="B12:H12" si="1">SUM(B4:B11)</f>
        <v>2932</v>
      </c>
      <c r="C12" s="103">
        <f t="shared" si="1"/>
        <v>2560</v>
      </c>
      <c r="D12" s="103">
        <f t="shared" si="1"/>
        <v>2168</v>
      </c>
      <c r="E12" s="103">
        <f t="shared" si="1"/>
        <v>2383</v>
      </c>
      <c r="F12" s="103">
        <f t="shared" si="1"/>
        <v>1057</v>
      </c>
      <c r="G12" s="103">
        <f t="shared" si="1"/>
        <v>73</v>
      </c>
      <c r="H12" s="103">
        <f t="shared" si="1"/>
        <v>11041</v>
      </c>
      <c r="J12" s="103">
        <f>SUM(J4:J11)</f>
        <v>8241</v>
      </c>
    </row>
    <row r="13" spans="1:28">
      <c r="H13" s="103">
        <f>H12-B12</f>
        <v>8109</v>
      </c>
    </row>
    <row r="15" spans="1:28">
      <c r="H15">
        <f>8241-8109</f>
        <v>132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4" sqref="D14"/>
    </sheetView>
  </sheetViews>
  <sheetFormatPr defaultColWidth="9.140625" defaultRowHeight="21"/>
  <cols>
    <col min="1" max="1" width="26.42578125" style="3" customWidth="1"/>
    <col min="2" max="2" width="11.5703125" style="3" customWidth="1"/>
    <col min="3" max="3" width="19" style="3" customWidth="1"/>
    <col min="4" max="4" width="11.140625" style="3" customWidth="1"/>
    <col min="5" max="5" width="12.28515625" style="3" customWidth="1"/>
    <col min="6" max="6" width="11.140625" style="3" customWidth="1"/>
    <col min="7" max="16384" width="9.140625" style="3"/>
  </cols>
  <sheetData>
    <row r="1" spans="1:7" ht="23.25">
      <c r="A1" s="926" t="s">
        <v>396</v>
      </c>
      <c r="B1" s="926"/>
      <c r="C1" s="926"/>
      <c r="D1" s="926"/>
      <c r="E1" s="926"/>
      <c r="F1" s="926"/>
      <c r="G1" s="5"/>
    </row>
    <row r="2" spans="1:7" ht="23.25">
      <c r="A2" s="926" t="s">
        <v>397</v>
      </c>
      <c r="B2" s="926"/>
      <c r="C2" s="926"/>
      <c r="D2" s="926"/>
      <c r="E2" s="926"/>
      <c r="F2" s="926"/>
      <c r="G2" s="926"/>
    </row>
    <row r="4" spans="1:7">
      <c r="A4" s="907" t="s">
        <v>398</v>
      </c>
      <c r="B4" s="906" t="s">
        <v>39</v>
      </c>
      <c r="C4" s="906"/>
      <c r="D4" s="906"/>
      <c r="E4" s="906"/>
      <c r="F4" s="907" t="s">
        <v>21</v>
      </c>
    </row>
    <row r="5" spans="1:7">
      <c r="A5" s="907"/>
      <c r="B5" s="10" t="s">
        <v>10</v>
      </c>
      <c r="C5" s="10" t="s">
        <v>399</v>
      </c>
      <c r="D5" s="10" t="s">
        <v>14</v>
      </c>
      <c r="E5" s="10" t="s">
        <v>16</v>
      </c>
      <c r="F5" s="907"/>
    </row>
    <row r="6" spans="1:7">
      <c r="A6" s="11" t="s">
        <v>4</v>
      </c>
      <c r="B6" s="99">
        <f>ปกติ!G146</f>
        <v>9409</v>
      </c>
      <c r="C6" s="99">
        <v>0</v>
      </c>
      <c r="D6" s="99">
        <f>ปกติ!G149</f>
        <v>18</v>
      </c>
      <c r="E6" s="99">
        <f>ปกติ!G150</f>
        <v>37</v>
      </c>
      <c r="F6" s="99">
        <f>SUM(B6:E6)</f>
        <v>9464</v>
      </c>
    </row>
    <row r="7" spans="1:7">
      <c r="A7" s="26" t="s">
        <v>5</v>
      </c>
      <c r="B7" s="100">
        <f>กศ.ป.!I83</f>
        <v>1852</v>
      </c>
      <c r="C7" s="26" t="e">
        <f>บัณฑิตศึกษา!#REF!</f>
        <v>#REF!</v>
      </c>
      <c r="D7" s="26" t="e">
        <f>บัณฑิตศึกษา!#REF!</f>
        <v>#REF!</v>
      </c>
      <c r="E7" s="26" t="e">
        <f>บัณฑิตศึกษา!#REF!</f>
        <v>#REF!</v>
      </c>
      <c r="F7" s="100" t="e">
        <f>SUM(B7:E7)</f>
        <v>#REF!</v>
      </c>
    </row>
    <row r="8" spans="1:7" s="2" customFormat="1">
      <c r="A8" s="10" t="s">
        <v>6</v>
      </c>
      <c r="B8" s="101">
        <f>SUM(B6:B7)</f>
        <v>11261</v>
      </c>
      <c r="C8" s="101" t="e">
        <f>SUM(C6:C7)</f>
        <v>#REF!</v>
      </c>
      <c r="D8" s="101" t="e">
        <f>SUM(D6:D7)</f>
        <v>#REF!</v>
      </c>
      <c r="E8" s="101" t="e">
        <f>SUM(E6:E7)</f>
        <v>#REF!</v>
      </c>
      <c r="F8" s="101" t="e">
        <f>SUM(F6:F7)</f>
        <v>#REF!</v>
      </c>
    </row>
  </sheetData>
  <mergeCells count="5">
    <mergeCell ref="A1:F1"/>
    <mergeCell ref="A2:G2"/>
    <mergeCell ref="B4:E4"/>
    <mergeCell ref="A4:A5"/>
    <mergeCell ref="F4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view="pageBreakPreview" zoomScaleNormal="100" zoomScaleSheetLayoutView="100" workbookViewId="0">
      <pane ySplit="4" topLeftCell="A11" activePane="bottomLeft" state="frozen"/>
      <selection pane="bottomLeft" activeCell="M2" sqref="M2"/>
    </sheetView>
  </sheetViews>
  <sheetFormatPr defaultColWidth="9.140625" defaultRowHeight="21"/>
  <cols>
    <col min="1" max="1" width="39.28515625" style="47" customWidth="1"/>
    <col min="2" max="4" width="8.85546875" style="47" hidden="1" customWidth="1"/>
    <col min="5" max="5" width="8" style="47" hidden="1" customWidth="1"/>
    <col min="6" max="8" width="7.42578125" style="48" hidden="1" customWidth="1"/>
    <col min="9" max="9" width="10.7109375" style="48" customWidth="1"/>
    <col min="10" max="13" width="8.7109375" style="48" customWidth="1"/>
    <col min="14" max="14" width="8.42578125" style="48" hidden="1" customWidth="1"/>
    <col min="15" max="15" width="21.140625" style="48" hidden="1" customWidth="1"/>
    <col min="16" max="16" width="11" style="48" hidden="1" customWidth="1"/>
    <col min="17" max="19" width="8.42578125" style="48" hidden="1" customWidth="1"/>
    <col min="20" max="20" width="8.42578125" style="47" hidden="1" customWidth="1"/>
    <col min="21" max="21" width="8.7109375" style="48" customWidth="1"/>
    <col min="22" max="16384" width="9.140625" style="47"/>
  </cols>
  <sheetData>
    <row r="1" spans="1:22" ht="23.25">
      <c r="A1" s="927" t="s">
        <v>432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86"/>
      <c r="O1" s="86"/>
      <c r="P1" s="86"/>
      <c r="Q1" s="86"/>
      <c r="R1" s="86"/>
      <c r="S1" s="86"/>
      <c r="U1" s="47"/>
    </row>
    <row r="2" spans="1:22">
      <c r="C2" s="47">
        <v>1</v>
      </c>
      <c r="D2" s="47">
        <v>2</v>
      </c>
      <c r="E2" s="47">
        <v>3</v>
      </c>
      <c r="F2" s="48">
        <v>4</v>
      </c>
      <c r="G2" s="48">
        <v>5</v>
      </c>
      <c r="H2" s="48">
        <v>6</v>
      </c>
    </row>
    <row r="3" spans="1:22">
      <c r="A3" s="803" t="s">
        <v>31</v>
      </c>
      <c r="B3" s="782" t="s">
        <v>240</v>
      </c>
      <c r="C3" s="782" t="s">
        <v>241</v>
      </c>
      <c r="D3" s="782" t="s">
        <v>33</v>
      </c>
      <c r="E3" s="782" t="s">
        <v>34</v>
      </c>
      <c r="F3" s="782" t="s">
        <v>35</v>
      </c>
      <c r="G3" s="782" t="s">
        <v>36</v>
      </c>
      <c r="H3" s="782" t="s">
        <v>37</v>
      </c>
      <c r="I3" s="928" t="s">
        <v>430</v>
      </c>
      <c r="J3" s="859" t="s">
        <v>32</v>
      </c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</row>
    <row r="4" spans="1:22">
      <c r="A4" s="804"/>
      <c r="B4" s="50"/>
      <c r="C4" s="50"/>
      <c r="D4" s="50"/>
      <c r="E4" s="50"/>
      <c r="F4" s="51"/>
      <c r="G4" s="51"/>
      <c r="H4" s="51"/>
      <c r="I4" s="929"/>
      <c r="J4" s="783" t="s">
        <v>258</v>
      </c>
      <c r="K4" s="783" t="s">
        <v>259</v>
      </c>
      <c r="L4" s="783" t="s">
        <v>260</v>
      </c>
      <c r="M4" s="783" t="s">
        <v>261</v>
      </c>
      <c r="N4" s="87"/>
      <c r="O4" s="87"/>
      <c r="P4" s="87"/>
      <c r="Q4" s="87"/>
      <c r="R4" s="87"/>
      <c r="S4" s="87"/>
      <c r="U4" s="783" t="s">
        <v>428</v>
      </c>
    </row>
    <row r="5" spans="1:22" s="45" customFormat="1">
      <c r="A5" s="52" t="s">
        <v>40</v>
      </c>
      <c r="B5" s="52"/>
      <c r="C5" s="52"/>
      <c r="D5" s="52"/>
      <c r="E5" s="52"/>
      <c r="F5" s="51"/>
      <c r="G5" s="51"/>
      <c r="H5" s="51"/>
      <c r="I5" s="51">
        <f>SUM(I12,I16,I22)</f>
        <v>786</v>
      </c>
      <c r="J5" s="51">
        <f t="shared" ref="J5:U5" si="0">SUM(J12,J16,J22)</f>
        <v>420</v>
      </c>
      <c r="K5" s="51">
        <f t="shared" si="0"/>
        <v>430</v>
      </c>
      <c r="L5" s="51">
        <f t="shared" si="0"/>
        <v>420</v>
      </c>
      <c r="M5" s="51">
        <f t="shared" si="0"/>
        <v>430</v>
      </c>
      <c r="N5" s="51" t="e">
        <f t="shared" si="0"/>
        <v>#REF!</v>
      </c>
      <c r="O5" s="51">
        <f t="shared" si="0"/>
        <v>0</v>
      </c>
      <c r="P5" s="51" t="e">
        <f t="shared" si="0"/>
        <v>#REF!</v>
      </c>
      <c r="Q5" s="51" t="e">
        <f t="shared" si="0"/>
        <v>#REF!</v>
      </c>
      <c r="R5" s="51" t="e">
        <f t="shared" si="0"/>
        <v>#REF!</v>
      </c>
      <c r="S5" s="51" t="e">
        <f t="shared" si="0"/>
        <v>#REF!</v>
      </c>
      <c r="T5" s="51">
        <f t="shared" si="0"/>
        <v>0</v>
      </c>
      <c r="U5" s="51">
        <f t="shared" si="0"/>
        <v>420</v>
      </c>
      <c r="V5" s="45" t="s">
        <v>262</v>
      </c>
    </row>
    <row r="6" spans="1:22" s="46" customFormat="1">
      <c r="A6" s="52" t="s">
        <v>25</v>
      </c>
      <c r="B6" s="52"/>
      <c r="C6" s="52"/>
      <c r="D6" s="52"/>
      <c r="E6" s="52"/>
      <c r="F6" s="53"/>
      <c r="G6" s="53"/>
      <c r="H6" s="53"/>
      <c r="I6" s="53"/>
      <c r="J6" s="53"/>
      <c r="K6" s="53"/>
      <c r="L6" s="53"/>
      <c r="M6" s="53"/>
      <c r="N6" s="87"/>
      <c r="O6" s="87"/>
      <c r="P6" s="88" t="s">
        <v>12</v>
      </c>
      <c r="Q6" s="88" t="s">
        <v>168</v>
      </c>
      <c r="R6" s="88" t="s">
        <v>169</v>
      </c>
      <c r="S6" s="88"/>
      <c r="T6" s="47"/>
      <c r="U6" s="53"/>
    </row>
    <row r="7" spans="1:22" s="46" customFormat="1">
      <c r="A7" s="54" t="s">
        <v>65</v>
      </c>
      <c r="B7" s="54">
        <f>35+30</f>
        <v>65</v>
      </c>
      <c r="C7" s="54">
        <f>19+46</f>
        <v>65</v>
      </c>
      <c r="D7" s="54">
        <v>19</v>
      </c>
      <c r="E7" s="54">
        <v>5</v>
      </c>
      <c r="F7" s="55">
        <f>4+4+5</f>
        <v>13</v>
      </c>
      <c r="G7" s="55"/>
      <c r="H7" s="55"/>
      <c r="I7" s="55">
        <v>140</v>
      </c>
      <c r="J7" s="55">
        <v>60</v>
      </c>
      <c r="K7" s="55">
        <v>60</v>
      </c>
      <c r="L7" s="55">
        <v>60</v>
      </c>
      <c r="M7" s="55">
        <v>60</v>
      </c>
      <c r="N7" s="89"/>
      <c r="O7" s="53" t="s">
        <v>335</v>
      </c>
      <c r="P7" s="53" t="e">
        <f>#REF!</f>
        <v>#REF!</v>
      </c>
      <c r="Q7" s="53">
        <f>I12</f>
        <v>491</v>
      </c>
      <c r="R7" s="53">
        <f>I22</f>
        <v>89</v>
      </c>
      <c r="S7" s="53" t="e">
        <f>SUM(P7:R7)</f>
        <v>#REF!</v>
      </c>
      <c r="T7" s="47"/>
      <c r="U7" s="55">
        <v>60</v>
      </c>
    </row>
    <row r="8" spans="1:22" s="46" customFormat="1">
      <c r="A8" s="56" t="s">
        <v>69</v>
      </c>
      <c r="B8" s="56">
        <v>46</v>
      </c>
      <c r="C8" s="56"/>
      <c r="D8" s="56"/>
      <c r="E8" s="56"/>
      <c r="F8" s="57"/>
      <c r="G8" s="57"/>
      <c r="H8" s="57"/>
      <c r="I8" s="57">
        <v>175</v>
      </c>
      <c r="J8" s="57">
        <v>40</v>
      </c>
      <c r="K8" s="57">
        <v>40</v>
      </c>
      <c r="L8" s="57">
        <v>40</v>
      </c>
      <c r="M8" s="57">
        <v>40</v>
      </c>
      <c r="N8" s="89"/>
      <c r="O8" s="53" t="s">
        <v>337</v>
      </c>
      <c r="P8" s="53"/>
      <c r="Q8" s="53" t="e">
        <f>#REF!</f>
        <v>#REF!</v>
      </c>
      <c r="R8" s="53"/>
      <c r="S8" s="53" t="e">
        <f>SUM(Q8:R8)</f>
        <v>#REF!</v>
      </c>
      <c r="T8" s="47"/>
      <c r="U8" s="57">
        <v>40</v>
      </c>
    </row>
    <row r="9" spans="1:22" s="46" customFormat="1">
      <c r="A9" s="56" t="s">
        <v>68</v>
      </c>
      <c r="B9" s="56"/>
      <c r="C9" s="56">
        <v>24</v>
      </c>
      <c r="D9" s="56"/>
      <c r="E9" s="56"/>
      <c r="F9" s="57">
        <f>24+4+17</f>
        <v>45</v>
      </c>
      <c r="G9" s="57"/>
      <c r="H9" s="57"/>
      <c r="I9" s="57">
        <v>116</v>
      </c>
      <c r="J9" s="57">
        <v>60</v>
      </c>
      <c r="K9" s="57">
        <v>60</v>
      </c>
      <c r="L9" s="57">
        <v>60</v>
      </c>
      <c r="M9" s="57">
        <v>60</v>
      </c>
      <c r="N9" s="89"/>
      <c r="O9" s="53" t="s">
        <v>337</v>
      </c>
      <c r="P9" s="53"/>
      <c r="Q9" s="53" t="e">
        <f>#REF!</f>
        <v>#REF!</v>
      </c>
      <c r="R9" s="53"/>
      <c r="S9" s="53" t="e">
        <f>SUM(Q9:R9)</f>
        <v>#REF!</v>
      </c>
      <c r="T9" s="47"/>
      <c r="U9" s="57">
        <v>60</v>
      </c>
    </row>
    <row r="10" spans="1:22" s="46" customFormat="1">
      <c r="A10" s="56" t="s">
        <v>339</v>
      </c>
      <c r="B10" s="56">
        <v>17</v>
      </c>
      <c r="C10" s="56"/>
      <c r="D10" s="56">
        <v>11</v>
      </c>
      <c r="E10" s="56">
        <v>26</v>
      </c>
      <c r="F10" s="57">
        <v>4</v>
      </c>
      <c r="G10" s="57"/>
      <c r="H10" s="57"/>
      <c r="I10" s="57">
        <v>5</v>
      </c>
      <c r="J10" s="57">
        <v>0</v>
      </c>
      <c r="K10" s="57">
        <v>0</v>
      </c>
      <c r="L10" s="57">
        <v>0</v>
      </c>
      <c r="M10" s="57">
        <v>0</v>
      </c>
      <c r="N10" s="87"/>
      <c r="O10" s="53" t="s">
        <v>28</v>
      </c>
      <c r="P10" s="53"/>
      <c r="Q10" s="53">
        <f>I34</f>
        <v>87</v>
      </c>
      <c r="R10" s="53">
        <f>I38</f>
        <v>6</v>
      </c>
      <c r="S10" s="53">
        <f>SUM(Q10:R10)</f>
        <v>93</v>
      </c>
      <c r="T10" s="47"/>
      <c r="U10" s="57">
        <v>0</v>
      </c>
    </row>
    <row r="11" spans="1:22" s="46" customFormat="1">
      <c r="A11" s="58" t="s">
        <v>342</v>
      </c>
      <c r="B11" s="58"/>
      <c r="C11" s="58">
        <f>1+3</f>
        <v>4</v>
      </c>
      <c r="D11" s="58">
        <v>10</v>
      </c>
      <c r="E11" s="58">
        <v>24</v>
      </c>
      <c r="F11" s="59"/>
      <c r="G11" s="59"/>
      <c r="H11" s="59"/>
      <c r="I11" s="59">
        <v>55</v>
      </c>
      <c r="J11" s="59">
        <v>50</v>
      </c>
      <c r="K11" s="59">
        <v>50</v>
      </c>
      <c r="L11" s="59">
        <v>50</v>
      </c>
      <c r="M11" s="59">
        <v>50</v>
      </c>
      <c r="N11" s="87" t="e">
        <f>#REF!+I8</f>
        <v>#REF!</v>
      </c>
      <c r="O11" s="87"/>
      <c r="P11" s="87"/>
      <c r="Q11" s="87"/>
      <c r="R11" s="87"/>
      <c r="S11" s="87"/>
      <c r="T11" s="47"/>
      <c r="U11" s="59">
        <v>50</v>
      </c>
    </row>
    <row r="12" spans="1:22" s="46" customFormat="1">
      <c r="A12" s="60" t="s">
        <v>6</v>
      </c>
      <c r="B12" s="51">
        <f t="shared" ref="B12:M12" si="1">SUM(B7:B11)</f>
        <v>128</v>
      </c>
      <c r="C12" s="51">
        <f t="shared" si="1"/>
        <v>93</v>
      </c>
      <c r="D12" s="51">
        <f t="shared" si="1"/>
        <v>40</v>
      </c>
      <c r="E12" s="51">
        <f t="shared" si="1"/>
        <v>55</v>
      </c>
      <c r="F12" s="51">
        <f t="shared" si="1"/>
        <v>62</v>
      </c>
      <c r="G12" s="51">
        <f t="shared" si="1"/>
        <v>0</v>
      </c>
      <c r="H12" s="51">
        <f t="shared" si="1"/>
        <v>0</v>
      </c>
      <c r="I12" s="51">
        <f t="shared" si="1"/>
        <v>491</v>
      </c>
      <c r="J12" s="51">
        <f t="shared" si="1"/>
        <v>210</v>
      </c>
      <c r="K12" s="51">
        <f t="shared" si="1"/>
        <v>210</v>
      </c>
      <c r="L12" s="51">
        <f t="shared" si="1"/>
        <v>210</v>
      </c>
      <c r="M12" s="51">
        <f t="shared" si="1"/>
        <v>210</v>
      </c>
      <c r="N12" s="87" t="e">
        <f>I7+I9+I10+#REF!</f>
        <v>#REF!</v>
      </c>
      <c r="O12" s="53" t="s">
        <v>17</v>
      </c>
      <c r="P12" s="53"/>
      <c r="Q12" s="53">
        <f>I24+I27</f>
        <v>20</v>
      </c>
      <c r="R12" s="53">
        <f>I25</f>
        <v>4</v>
      </c>
      <c r="S12" s="53">
        <f>SUM(Q12:R12)</f>
        <v>24</v>
      </c>
      <c r="T12" s="47"/>
      <c r="U12" s="51">
        <f>SUM(U7:U11)</f>
        <v>210</v>
      </c>
    </row>
    <row r="13" spans="1:22" s="46" customFormat="1">
      <c r="A13" s="61" t="s">
        <v>352</v>
      </c>
      <c r="B13" s="61"/>
      <c r="C13" s="61"/>
      <c r="D13" s="61"/>
      <c r="E13" s="61"/>
      <c r="F13" s="53"/>
      <c r="G13" s="53"/>
      <c r="H13" s="53"/>
      <c r="I13" s="53"/>
      <c r="J13" s="53"/>
      <c r="K13" s="53"/>
      <c r="L13" s="53"/>
      <c r="M13" s="53"/>
      <c r="N13" s="87"/>
      <c r="O13" s="87"/>
      <c r="P13" s="87"/>
      <c r="Q13" s="87"/>
      <c r="R13" s="87"/>
      <c r="S13" s="87"/>
      <c r="T13" s="47"/>
      <c r="U13" s="53"/>
    </row>
    <row r="14" spans="1:22" s="46" customFormat="1" hidden="1">
      <c r="A14" s="784" t="s">
        <v>353</v>
      </c>
      <c r="B14" s="62"/>
      <c r="C14" s="62"/>
      <c r="D14" s="62"/>
      <c r="E14" s="62"/>
      <c r="F14" s="53"/>
      <c r="G14" s="53"/>
      <c r="H14" s="53"/>
      <c r="I14" s="53">
        <f>SUM(D14:H14)</f>
        <v>0</v>
      </c>
      <c r="J14" s="53"/>
      <c r="K14" s="53"/>
      <c r="L14" s="53"/>
      <c r="M14" s="53"/>
      <c r="N14" s="90"/>
      <c r="O14" s="91"/>
      <c r="P14" s="91"/>
      <c r="Q14" s="91"/>
      <c r="R14" s="91"/>
      <c r="S14" s="91"/>
      <c r="T14" s="47"/>
      <c r="U14" s="53"/>
    </row>
    <row r="15" spans="1:22" s="46" customFormat="1">
      <c r="A15" s="784" t="s">
        <v>354</v>
      </c>
      <c r="B15" s="62">
        <v>180</v>
      </c>
      <c r="C15" s="62">
        <v>13</v>
      </c>
      <c r="D15" s="62">
        <v>27</v>
      </c>
      <c r="E15" s="62"/>
      <c r="F15" s="53"/>
      <c r="G15" s="53"/>
      <c r="H15" s="53"/>
      <c r="I15" s="53">
        <v>206</v>
      </c>
      <c r="J15" s="53">
        <v>180</v>
      </c>
      <c r="K15" s="53">
        <v>180</v>
      </c>
      <c r="L15" s="53">
        <v>180</v>
      </c>
      <c r="M15" s="53">
        <v>180</v>
      </c>
      <c r="N15" s="87"/>
      <c r="O15" s="87"/>
      <c r="P15" s="87"/>
      <c r="Q15" s="87"/>
      <c r="R15" s="87"/>
      <c r="S15" s="87"/>
      <c r="T15" s="47"/>
      <c r="U15" s="53">
        <v>180</v>
      </c>
    </row>
    <row r="16" spans="1:22" s="46" customFormat="1">
      <c r="A16" s="60" t="s">
        <v>6</v>
      </c>
      <c r="B16" s="53">
        <f>SUM(B14:B15)</f>
        <v>180</v>
      </c>
      <c r="C16" s="53">
        <f>SUM(C14:C15)</f>
        <v>13</v>
      </c>
      <c r="D16" s="53">
        <f>SUM(D14:D15)</f>
        <v>27</v>
      </c>
      <c r="E16" s="62"/>
      <c r="F16" s="53">
        <f>SUM(F14:F15)</f>
        <v>0</v>
      </c>
      <c r="G16" s="53">
        <f>SUM(G14:G15)</f>
        <v>0</v>
      </c>
      <c r="H16" s="53"/>
      <c r="I16" s="51">
        <f>I15</f>
        <v>206</v>
      </c>
      <c r="J16" s="51">
        <f>J15</f>
        <v>180</v>
      </c>
      <c r="K16" s="51">
        <f>K15</f>
        <v>180</v>
      </c>
      <c r="L16" s="51">
        <f>L15</f>
        <v>180</v>
      </c>
      <c r="M16" s="51">
        <f>M15</f>
        <v>180</v>
      </c>
      <c r="N16" s="87"/>
      <c r="O16" s="87"/>
      <c r="P16" s="87"/>
      <c r="Q16" s="87"/>
      <c r="R16" s="87"/>
      <c r="S16" s="87"/>
      <c r="T16" s="47"/>
      <c r="U16" s="51">
        <f>U15</f>
        <v>180</v>
      </c>
    </row>
    <row r="17" spans="1:22" s="46" customFormat="1">
      <c r="A17" s="52" t="s">
        <v>44</v>
      </c>
      <c r="B17" s="52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87"/>
      <c r="O17" s="53" t="s">
        <v>343</v>
      </c>
      <c r="P17" s="53"/>
      <c r="Q17" s="53"/>
      <c r="R17" s="53"/>
      <c r="S17" s="53">
        <f>SUM(Q17:R17)</f>
        <v>0</v>
      </c>
      <c r="T17" s="47"/>
      <c r="U17" s="51"/>
    </row>
    <row r="18" spans="1:22" s="46" customFormat="1">
      <c r="A18" s="56" t="s">
        <v>67</v>
      </c>
      <c r="B18" s="63"/>
      <c r="C18" s="63"/>
      <c r="D18" s="63"/>
      <c r="E18" s="63"/>
      <c r="F18" s="64">
        <f>4+3</f>
        <v>7</v>
      </c>
      <c r="G18" s="64">
        <v>5</v>
      </c>
      <c r="H18" s="64"/>
      <c r="I18" s="64">
        <v>1</v>
      </c>
      <c r="J18" s="74">
        <v>0</v>
      </c>
      <c r="K18" s="74">
        <v>0</v>
      </c>
      <c r="L18" s="74">
        <v>0</v>
      </c>
      <c r="M18" s="74">
        <v>0</v>
      </c>
      <c r="N18" s="92"/>
      <c r="O18" s="53" t="s">
        <v>344</v>
      </c>
      <c r="P18" s="53"/>
      <c r="Q18" s="53">
        <f>I30</f>
        <v>12</v>
      </c>
      <c r="R18" s="53"/>
      <c r="S18" s="53">
        <f>SUM(Q18:R18)</f>
        <v>12</v>
      </c>
      <c r="T18" s="47"/>
      <c r="U18" s="74">
        <v>0</v>
      </c>
    </row>
    <row r="19" spans="1:22" s="46" customFormat="1">
      <c r="A19" s="56" t="s">
        <v>65</v>
      </c>
      <c r="B19" s="56">
        <v>12</v>
      </c>
      <c r="C19" s="56">
        <f>17+1</f>
        <v>18</v>
      </c>
      <c r="D19" s="56">
        <f>14+2</f>
        <v>16</v>
      </c>
      <c r="E19" s="56">
        <v>13</v>
      </c>
      <c r="F19" s="57"/>
      <c r="G19" s="57"/>
      <c r="H19" s="57"/>
      <c r="I19" s="57">
        <v>47</v>
      </c>
      <c r="J19" s="57">
        <v>15</v>
      </c>
      <c r="K19" s="57">
        <v>15</v>
      </c>
      <c r="L19" s="57">
        <v>15</v>
      </c>
      <c r="M19" s="57">
        <v>15</v>
      </c>
      <c r="N19" s="92"/>
      <c r="O19" s="93" t="s">
        <v>345</v>
      </c>
      <c r="P19" s="94">
        <f>SUM(P12:P18)</f>
        <v>0</v>
      </c>
      <c r="Q19" s="94">
        <f>SUM(Q12:Q18)</f>
        <v>32</v>
      </c>
      <c r="R19" s="94">
        <f>SUM(R12:R18)</f>
        <v>4</v>
      </c>
      <c r="S19" s="94">
        <f>SUM(S12:S18)</f>
        <v>36</v>
      </c>
      <c r="T19" s="47"/>
      <c r="U19" s="57">
        <v>15</v>
      </c>
    </row>
    <row r="20" spans="1:22" s="46" customFormat="1">
      <c r="A20" s="56" t="s">
        <v>68</v>
      </c>
      <c r="B20" s="56">
        <v>7</v>
      </c>
      <c r="C20" s="56">
        <v>11</v>
      </c>
      <c r="D20" s="56"/>
      <c r="E20" s="56"/>
      <c r="F20" s="57">
        <v>12</v>
      </c>
      <c r="G20" s="57"/>
      <c r="H20" s="57"/>
      <c r="I20" s="57">
        <v>8</v>
      </c>
      <c r="J20" s="57">
        <v>0</v>
      </c>
      <c r="K20" s="57">
        <v>10</v>
      </c>
      <c r="L20" s="57">
        <v>0</v>
      </c>
      <c r="M20" s="57">
        <v>10</v>
      </c>
      <c r="N20" s="92"/>
      <c r="O20" s="47"/>
      <c r="P20" s="47"/>
      <c r="Q20" s="47"/>
      <c r="R20" s="47"/>
      <c r="S20" s="47"/>
      <c r="T20" s="47"/>
      <c r="U20" s="57">
        <v>0</v>
      </c>
    </row>
    <row r="21" spans="1:22" s="46" customFormat="1">
      <c r="A21" s="65" t="s">
        <v>69</v>
      </c>
      <c r="B21" s="65">
        <v>7</v>
      </c>
      <c r="C21" s="65">
        <f>6+4</f>
        <v>10</v>
      </c>
      <c r="D21" s="65">
        <v>19</v>
      </c>
      <c r="E21" s="65">
        <v>9</v>
      </c>
      <c r="F21" s="66">
        <v>5</v>
      </c>
      <c r="G21" s="66">
        <v>1</v>
      </c>
      <c r="H21" s="66"/>
      <c r="I21" s="64">
        <v>33</v>
      </c>
      <c r="J21" s="66">
        <v>15</v>
      </c>
      <c r="K21" s="66">
        <v>15</v>
      </c>
      <c r="L21" s="66">
        <v>15</v>
      </c>
      <c r="M21" s="66">
        <v>15</v>
      </c>
      <c r="N21" s="87"/>
      <c r="O21" s="95" t="s">
        <v>21</v>
      </c>
      <c r="P21" s="95" t="e">
        <f>#REF!+P19</f>
        <v>#REF!</v>
      </c>
      <c r="Q21" s="95" t="e">
        <f>#REF!+Q19</f>
        <v>#REF!</v>
      </c>
      <c r="R21" s="95" t="e">
        <f>#REF!+R19</f>
        <v>#REF!</v>
      </c>
      <c r="S21" s="95" t="e">
        <f>#REF!+S19</f>
        <v>#REF!</v>
      </c>
      <c r="T21" s="47"/>
      <c r="U21" s="66">
        <v>15</v>
      </c>
    </row>
    <row r="22" spans="1:22" s="45" customFormat="1">
      <c r="A22" s="60" t="s">
        <v>6</v>
      </c>
      <c r="B22" s="51">
        <f>SUM(B18:B21)</f>
        <v>26</v>
      </c>
      <c r="C22" s="51">
        <f>SUM(C18:C21)</f>
        <v>39</v>
      </c>
      <c r="D22" s="51">
        <f>SUM(D18:D21)</f>
        <v>35</v>
      </c>
      <c r="E22" s="51">
        <f t="shared" ref="E22:J22" si="2">SUM(E18:E21)</f>
        <v>22</v>
      </c>
      <c r="F22" s="51">
        <f t="shared" si="2"/>
        <v>24</v>
      </c>
      <c r="G22" s="51">
        <f t="shared" si="2"/>
        <v>6</v>
      </c>
      <c r="H22" s="51">
        <f t="shared" si="2"/>
        <v>0</v>
      </c>
      <c r="I22" s="51">
        <f t="shared" si="2"/>
        <v>89</v>
      </c>
      <c r="J22" s="51">
        <f t="shared" si="2"/>
        <v>30</v>
      </c>
      <c r="K22" s="51">
        <f t="shared" ref="K22:U22" si="3">SUM(K18:K21)</f>
        <v>40</v>
      </c>
      <c r="L22" s="51">
        <f t="shared" si="3"/>
        <v>30</v>
      </c>
      <c r="M22" s="51">
        <f t="shared" si="3"/>
        <v>40</v>
      </c>
      <c r="N22" s="51">
        <f t="shared" si="3"/>
        <v>0</v>
      </c>
      <c r="O22" s="51">
        <f t="shared" si="3"/>
        <v>0</v>
      </c>
      <c r="P22" s="51" t="e">
        <f t="shared" si="3"/>
        <v>#REF!</v>
      </c>
      <c r="Q22" s="51" t="e">
        <f t="shared" si="3"/>
        <v>#REF!</v>
      </c>
      <c r="R22" s="51" t="e">
        <f t="shared" si="3"/>
        <v>#REF!</v>
      </c>
      <c r="S22" s="51" t="e">
        <f t="shared" si="3"/>
        <v>#REF!</v>
      </c>
      <c r="T22" s="51">
        <f t="shared" si="3"/>
        <v>0</v>
      </c>
      <c r="U22" s="51">
        <f t="shared" si="3"/>
        <v>30</v>
      </c>
    </row>
    <row r="23" spans="1:22">
      <c r="A23" s="61" t="s">
        <v>70</v>
      </c>
      <c r="B23" s="61"/>
      <c r="C23" s="61"/>
      <c r="D23" s="61"/>
      <c r="E23" s="61"/>
      <c r="F23" s="53"/>
      <c r="G23" s="53"/>
      <c r="H23" s="53"/>
      <c r="I23" s="53"/>
      <c r="J23" s="53"/>
      <c r="K23" s="53"/>
      <c r="L23" s="53"/>
      <c r="M23" s="53"/>
      <c r="N23" s="87"/>
      <c r="U23" s="53"/>
    </row>
    <row r="24" spans="1:22" s="46" customFormat="1">
      <c r="A24" s="67" t="s">
        <v>346</v>
      </c>
      <c r="B24" s="68"/>
      <c r="C24" s="68">
        <f>0+2</f>
        <v>2</v>
      </c>
      <c r="D24" s="68"/>
      <c r="E24" s="68">
        <f>1+0</f>
        <v>1</v>
      </c>
      <c r="F24" s="64"/>
      <c r="G24" s="64"/>
      <c r="H24" s="64"/>
      <c r="I24" s="74">
        <v>0</v>
      </c>
      <c r="J24" s="74">
        <v>10</v>
      </c>
      <c r="K24" s="74">
        <v>10</v>
      </c>
      <c r="L24" s="74">
        <v>10</v>
      </c>
      <c r="M24" s="74">
        <v>10</v>
      </c>
      <c r="N24" s="87"/>
      <c r="O24" s="87"/>
      <c r="P24" s="87"/>
      <c r="Q24" s="87"/>
      <c r="R24" s="87"/>
      <c r="S24" s="87"/>
      <c r="T24" s="47"/>
      <c r="U24" s="74">
        <v>10</v>
      </c>
    </row>
    <row r="25" spans="1:22" s="46" customFormat="1">
      <c r="A25" s="67" t="s">
        <v>347</v>
      </c>
      <c r="B25" s="68"/>
      <c r="C25" s="68"/>
      <c r="D25" s="68">
        <v>1</v>
      </c>
      <c r="E25" s="68"/>
      <c r="F25" s="64"/>
      <c r="G25" s="64"/>
      <c r="H25" s="64"/>
      <c r="I25" s="57">
        <v>4</v>
      </c>
      <c r="J25" s="74">
        <v>10</v>
      </c>
      <c r="K25" s="74">
        <v>10</v>
      </c>
      <c r="L25" s="74">
        <v>10</v>
      </c>
      <c r="M25" s="74">
        <v>10</v>
      </c>
      <c r="N25" s="87"/>
      <c r="O25" s="87"/>
      <c r="P25" s="87"/>
      <c r="Q25" s="87"/>
      <c r="R25" s="87"/>
      <c r="S25" s="87"/>
      <c r="T25" s="47"/>
      <c r="U25" s="74">
        <v>10</v>
      </c>
    </row>
    <row r="26" spans="1:22" s="46" customFormat="1">
      <c r="A26" s="69" t="s">
        <v>276</v>
      </c>
      <c r="B26" s="69">
        <v>8</v>
      </c>
      <c r="C26" s="69">
        <f>9+1</f>
        <v>10</v>
      </c>
      <c r="D26" s="69">
        <v>17</v>
      </c>
      <c r="E26" s="69">
        <f>14+10</f>
        <v>24</v>
      </c>
      <c r="F26" s="66">
        <v>16</v>
      </c>
      <c r="G26" s="66"/>
      <c r="H26" s="66"/>
      <c r="I26" s="64">
        <v>2</v>
      </c>
      <c r="J26" s="66">
        <v>20</v>
      </c>
      <c r="K26" s="66">
        <v>20</v>
      </c>
      <c r="L26" s="66">
        <v>20</v>
      </c>
      <c r="M26" s="66">
        <v>20</v>
      </c>
      <c r="N26" s="87"/>
      <c r="O26" s="87"/>
      <c r="P26" s="87"/>
      <c r="Q26" s="87"/>
      <c r="R26" s="87"/>
      <c r="S26" s="87"/>
      <c r="T26" s="47"/>
      <c r="U26" s="66">
        <v>20</v>
      </c>
    </row>
    <row r="27" spans="1:22" s="46" customFormat="1">
      <c r="A27" s="69" t="s">
        <v>400</v>
      </c>
      <c r="B27" s="69">
        <v>8</v>
      </c>
      <c r="C27" s="69">
        <f>9+1</f>
        <v>10</v>
      </c>
      <c r="D27" s="69">
        <v>17</v>
      </c>
      <c r="E27" s="69">
        <f>14+10</f>
        <v>24</v>
      </c>
      <c r="F27" s="66">
        <v>16</v>
      </c>
      <c r="G27" s="66"/>
      <c r="H27" s="66"/>
      <c r="I27" s="64">
        <v>20</v>
      </c>
      <c r="J27" s="66">
        <v>30</v>
      </c>
      <c r="K27" s="66">
        <v>30</v>
      </c>
      <c r="L27" s="66">
        <v>30</v>
      </c>
      <c r="M27" s="66">
        <v>30</v>
      </c>
      <c r="N27" s="87"/>
      <c r="O27" s="87"/>
      <c r="P27" s="87"/>
      <c r="Q27" s="87"/>
      <c r="R27" s="87"/>
      <c r="S27" s="87"/>
      <c r="T27" s="47"/>
      <c r="U27" s="66">
        <v>30</v>
      </c>
    </row>
    <row r="28" spans="1:22">
      <c r="A28" s="60" t="s">
        <v>6</v>
      </c>
      <c r="B28" s="53">
        <f t="shared" ref="B28:M28" si="4">SUM(B24:B27)</f>
        <v>16</v>
      </c>
      <c r="C28" s="53">
        <f t="shared" si="4"/>
        <v>22</v>
      </c>
      <c r="D28" s="53">
        <f t="shared" si="4"/>
        <v>35</v>
      </c>
      <c r="E28" s="53">
        <f t="shared" si="4"/>
        <v>49</v>
      </c>
      <c r="F28" s="53">
        <f t="shared" si="4"/>
        <v>32</v>
      </c>
      <c r="G28" s="53">
        <f t="shared" si="4"/>
        <v>0</v>
      </c>
      <c r="H28" s="53">
        <f t="shared" si="4"/>
        <v>0</v>
      </c>
      <c r="I28" s="51">
        <f t="shared" si="4"/>
        <v>26</v>
      </c>
      <c r="J28" s="51">
        <f t="shared" si="4"/>
        <v>70</v>
      </c>
      <c r="K28" s="51">
        <f t="shared" si="4"/>
        <v>70</v>
      </c>
      <c r="L28" s="51">
        <f t="shared" si="4"/>
        <v>70</v>
      </c>
      <c r="M28" s="51">
        <f t="shared" si="4"/>
        <v>70</v>
      </c>
      <c r="N28" s="87"/>
      <c r="O28" s="87"/>
      <c r="P28" s="87"/>
      <c r="Q28" s="87"/>
      <c r="R28" s="87"/>
      <c r="S28" s="87"/>
      <c r="U28" s="51">
        <f>SUM(U24:U27)</f>
        <v>70</v>
      </c>
    </row>
    <row r="29" spans="1:22" s="46" customFormat="1">
      <c r="A29" s="70" t="s">
        <v>188</v>
      </c>
      <c r="B29" s="70"/>
      <c r="C29" s="70"/>
      <c r="D29" s="70"/>
      <c r="E29" s="70"/>
      <c r="F29" s="64"/>
      <c r="G29" s="64"/>
      <c r="H29" s="64"/>
      <c r="I29" s="64"/>
      <c r="J29" s="74"/>
      <c r="K29" s="74"/>
      <c r="L29" s="74"/>
      <c r="M29" s="74"/>
      <c r="N29" s="87"/>
      <c r="O29" s="87"/>
      <c r="P29" s="87"/>
      <c r="Q29" s="87"/>
      <c r="R29" s="87">
        <v>329</v>
      </c>
      <c r="S29" s="87"/>
      <c r="T29" s="47"/>
      <c r="U29" s="74"/>
    </row>
    <row r="30" spans="1:22" s="46" customFormat="1">
      <c r="A30" s="71" t="s">
        <v>296</v>
      </c>
      <c r="B30" s="71"/>
      <c r="C30" s="71"/>
      <c r="D30" s="71"/>
      <c r="E30" s="71"/>
      <c r="F30" s="57"/>
      <c r="G30" s="57"/>
      <c r="H30" s="57"/>
      <c r="I30" s="57">
        <v>12</v>
      </c>
      <c r="J30" s="57">
        <v>15</v>
      </c>
      <c r="K30" s="57">
        <v>15</v>
      </c>
      <c r="L30" s="57">
        <v>15</v>
      </c>
      <c r="M30" s="57">
        <v>15</v>
      </c>
      <c r="N30" s="87"/>
      <c r="O30" s="87"/>
      <c r="P30" s="87"/>
      <c r="Q30" s="87"/>
      <c r="R30" s="87">
        <f>SUM(R29:R29)</f>
        <v>329</v>
      </c>
      <c r="S30" s="87"/>
      <c r="T30" s="47"/>
      <c r="U30" s="57">
        <v>15</v>
      </c>
      <c r="V30" s="46" t="s">
        <v>278</v>
      </c>
    </row>
    <row r="31" spans="1:22" s="46" customFormat="1">
      <c r="A31" s="67" t="s">
        <v>298</v>
      </c>
      <c r="B31" s="68"/>
      <c r="C31" s="68"/>
      <c r="D31" s="68"/>
      <c r="E31" s="68"/>
      <c r="F31" s="64"/>
      <c r="G31" s="64"/>
      <c r="H31" s="64"/>
      <c r="I31" s="64">
        <v>5</v>
      </c>
      <c r="J31" s="57">
        <v>5</v>
      </c>
      <c r="K31" s="57">
        <v>5</v>
      </c>
      <c r="L31" s="57">
        <v>5</v>
      </c>
      <c r="M31" s="57">
        <v>5</v>
      </c>
      <c r="N31" s="87"/>
      <c r="O31" s="87"/>
      <c r="P31" s="87"/>
      <c r="Q31" s="87"/>
      <c r="R31" s="87"/>
      <c r="S31" s="87"/>
      <c r="T31" s="47"/>
      <c r="U31" s="57">
        <v>5</v>
      </c>
    </row>
    <row r="32" spans="1:22" s="45" customFormat="1">
      <c r="A32" s="60" t="s">
        <v>6</v>
      </c>
      <c r="B32" s="60"/>
      <c r="C32" s="51">
        <f t="shared" ref="C32:I32" si="5">SUM(C30:C31)</f>
        <v>0</v>
      </c>
      <c r="D32" s="51">
        <f t="shared" si="5"/>
        <v>0</v>
      </c>
      <c r="E32" s="51">
        <f t="shared" si="5"/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17</v>
      </c>
      <c r="J32" s="51">
        <f t="shared" ref="J32:U32" si="6">SUM(J30:J31)</f>
        <v>20</v>
      </c>
      <c r="K32" s="51">
        <f t="shared" si="6"/>
        <v>20</v>
      </c>
      <c r="L32" s="51">
        <f t="shared" si="6"/>
        <v>20</v>
      </c>
      <c r="M32" s="51">
        <f t="shared" si="6"/>
        <v>20</v>
      </c>
      <c r="N32" s="51">
        <f t="shared" si="6"/>
        <v>0</v>
      </c>
      <c r="O32" s="51">
        <f t="shared" si="6"/>
        <v>0</v>
      </c>
      <c r="P32" s="51">
        <f t="shared" si="6"/>
        <v>0</v>
      </c>
      <c r="Q32" s="51">
        <f t="shared" si="6"/>
        <v>0</v>
      </c>
      <c r="R32" s="51">
        <f t="shared" si="6"/>
        <v>329</v>
      </c>
      <c r="S32" s="51">
        <f t="shared" si="6"/>
        <v>0</v>
      </c>
      <c r="T32" s="51">
        <f t="shared" si="6"/>
        <v>0</v>
      </c>
      <c r="U32" s="51">
        <f t="shared" si="6"/>
        <v>20</v>
      </c>
    </row>
    <row r="33" spans="1:22" s="46" customFormat="1">
      <c r="A33" s="72" t="s">
        <v>139</v>
      </c>
      <c r="B33" s="72"/>
      <c r="C33" s="72"/>
      <c r="D33" s="72"/>
      <c r="E33" s="72"/>
      <c r="F33" s="73"/>
      <c r="G33" s="73"/>
      <c r="H33" s="73"/>
      <c r="I33" s="73"/>
      <c r="J33" s="73"/>
      <c r="K33" s="73"/>
      <c r="L33" s="73"/>
      <c r="M33" s="73"/>
      <c r="N33" s="87"/>
      <c r="O33" s="87" t="s">
        <v>25</v>
      </c>
      <c r="P33" s="87"/>
      <c r="Q33" s="92" t="e">
        <f>#REF!+Q22</f>
        <v>#REF!</v>
      </c>
      <c r="R33" s="87">
        <f>20+1</f>
        <v>21</v>
      </c>
      <c r="S33" s="87"/>
      <c r="T33" s="47"/>
      <c r="U33" s="73"/>
      <c r="V33" s="45" t="s">
        <v>401</v>
      </c>
    </row>
    <row r="34" spans="1:22" s="46" customFormat="1">
      <c r="A34" s="67" t="s">
        <v>18</v>
      </c>
      <c r="B34" s="67">
        <v>32</v>
      </c>
      <c r="C34" s="67">
        <f>13+13</f>
        <v>26</v>
      </c>
      <c r="D34" s="67">
        <v>15</v>
      </c>
      <c r="E34" s="67">
        <v>9</v>
      </c>
      <c r="F34" s="74">
        <v>4</v>
      </c>
      <c r="G34" s="74"/>
      <c r="H34" s="74"/>
      <c r="I34" s="74">
        <v>87</v>
      </c>
      <c r="J34" s="74">
        <v>40</v>
      </c>
      <c r="K34" s="74">
        <v>40</v>
      </c>
      <c r="L34" s="74">
        <v>40</v>
      </c>
      <c r="M34" s="74">
        <v>40</v>
      </c>
      <c r="N34" s="87"/>
      <c r="O34" s="87" t="s">
        <v>350</v>
      </c>
      <c r="P34" s="87"/>
      <c r="Q34" s="92" t="e">
        <f>#REF!</f>
        <v>#REF!</v>
      </c>
      <c r="R34" s="87"/>
      <c r="S34" s="87"/>
      <c r="T34" s="47"/>
      <c r="U34" s="74">
        <v>40</v>
      </c>
    </row>
    <row r="35" spans="1:22" s="46" customFormat="1">
      <c r="A35" s="71" t="s">
        <v>351</v>
      </c>
      <c r="B35" s="71"/>
      <c r="C35" s="71">
        <f>4+3</f>
        <v>7</v>
      </c>
      <c r="D35" s="71">
        <f>13</f>
        <v>13</v>
      </c>
      <c r="E35" s="71">
        <f>8+4</f>
        <v>12</v>
      </c>
      <c r="F35" s="57">
        <v>8</v>
      </c>
      <c r="G35" s="57"/>
      <c r="H35" s="57"/>
      <c r="I35" s="57">
        <v>10</v>
      </c>
      <c r="J35" s="66">
        <v>0</v>
      </c>
      <c r="K35" s="66">
        <v>0</v>
      </c>
      <c r="L35" s="66">
        <v>0</v>
      </c>
      <c r="M35" s="66">
        <v>0</v>
      </c>
      <c r="N35" s="96"/>
      <c r="O35" s="96"/>
      <c r="P35" s="96"/>
      <c r="Q35" s="98">
        <f>SUM(Q30:Q32)</f>
        <v>0</v>
      </c>
      <c r="R35" s="87"/>
      <c r="S35" s="87"/>
      <c r="T35" s="47"/>
      <c r="U35" s="66">
        <v>0</v>
      </c>
    </row>
    <row r="36" spans="1:22" s="46" customFormat="1">
      <c r="A36" s="71" t="s">
        <v>402</v>
      </c>
      <c r="B36" s="71"/>
      <c r="C36" s="71">
        <f>4+3</f>
        <v>7</v>
      </c>
      <c r="D36" s="71">
        <f>13</f>
        <v>13</v>
      </c>
      <c r="E36" s="71">
        <f>8+4</f>
        <v>12</v>
      </c>
      <c r="F36" s="57">
        <v>8</v>
      </c>
      <c r="G36" s="57"/>
      <c r="H36" s="57"/>
      <c r="I36" s="57">
        <v>5</v>
      </c>
      <c r="J36" s="66">
        <v>30</v>
      </c>
      <c r="K36" s="66">
        <v>30</v>
      </c>
      <c r="L36" s="66">
        <v>30</v>
      </c>
      <c r="M36" s="66">
        <v>30</v>
      </c>
      <c r="N36" s="96"/>
      <c r="O36" s="96"/>
      <c r="P36" s="96"/>
      <c r="Q36" s="98">
        <f>SUM(Q31:Q32)</f>
        <v>0</v>
      </c>
      <c r="R36" s="87"/>
      <c r="S36" s="87"/>
      <c r="T36" s="47"/>
      <c r="U36" s="66">
        <v>30</v>
      </c>
    </row>
    <row r="37" spans="1:22" s="46" customFormat="1">
      <c r="A37" s="71" t="s">
        <v>403</v>
      </c>
      <c r="B37" s="71"/>
      <c r="C37" s="71">
        <f>4+3</f>
        <v>7</v>
      </c>
      <c r="D37" s="71">
        <f>13</f>
        <v>13</v>
      </c>
      <c r="E37" s="71">
        <f>8+4</f>
        <v>12</v>
      </c>
      <c r="F37" s="57">
        <v>8</v>
      </c>
      <c r="G37" s="57"/>
      <c r="H37" s="57"/>
      <c r="I37" s="57">
        <v>12</v>
      </c>
      <c r="J37" s="66">
        <v>30</v>
      </c>
      <c r="K37" s="66">
        <v>30</v>
      </c>
      <c r="L37" s="66">
        <v>30</v>
      </c>
      <c r="M37" s="66">
        <v>30</v>
      </c>
      <c r="N37" s="96"/>
      <c r="O37" s="96"/>
      <c r="P37" s="96"/>
      <c r="Q37" s="98" t="e">
        <f>SUM(Q32:Q33)</f>
        <v>#REF!</v>
      </c>
      <c r="R37" s="87"/>
      <c r="S37" s="87"/>
      <c r="T37" s="47"/>
      <c r="U37" s="66">
        <v>30</v>
      </c>
    </row>
    <row r="38" spans="1:22" s="46" customFormat="1">
      <c r="A38" s="68" t="s">
        <v>404</v>
      </c>
      <c r="B38" s="68"/>
      <c r="C38" s="68">
        <f>4+3</f>
        <v>7</v>
      </c>
      <c r="D38" s="68">
        <f>13</f>
        <v>13</v>
      </c>
      <c r="E38" s="68">
        <f>8+4</f>
        <v>12</v>
      </c>
      <c r="F38" s="64">
        <v>8</v>
      </c>
      <c r="G38" s="64"/>
      <c r="H38" s="64"/>
      <c r="I38" s="64">
        <v>6</v>
      </c>
      <c r="J38" s="66">
        <v>10</v>
      </c>
      <c r="K38" s="66">
        <v>10</v>
      </c>
      <c r="L38" s="66">
        <v>10</v>
      </c>
      <c r="M38" s="66">
        <v>10</v>
      </c>
      <c r="N38" s="96"/>
      <c r="O38" s="96"/>
      <c r="P38" s="96"/>
      <c r="Q38" s="98" t="e">
        <f>SUM(Q32:Q34)</f>
        <v>#REF!</v>
      </c>
      <c r="R38" s="87"/>
      <c r="S38" s="87"/>
      <c r="T38" s="47"/>
      <c r="U38" s="66">
        <v>10</v>
      </c>
    </row>
    <row r="39" spans="1:22" s="46" customFormat="1">
      <c r="A39" s="60" t="s">
        <v>6</v>
      </c>
      <c r="B39" s="53">
        <f t="shared" ref="B39:M39" si="7">SUM(B34:B38)</f>
        <v>32</v>
      </c>
      <c r="C39" s="53">
        <f t="shared" si="7"/>
        <v>54</v>
      </c>
      <c r="D39" s="53">
        <f t="shared" si="7"/>
        <v>67</v>
      </c>
      <c r="E39" s="53">
        <f t="shared" si="7"/>
        <v>57</v>
      </c>
      <c r="F39" s="53">
        <f t="shared" si="7"/>
        <v>36</v>
      </c>
      <c r="G39" s="53">
        <f t="shared" si="7"/>
        <v>0</v>
      </c>
      <c r="H39" s="53">
        <f t="shared" si="7"/>
        <v>0</v>
      </c>
      <c r="I39" s="51">
        <f t="shared" si="7"/>
        <v>120</v>
      </c>
      <c r="J39" s="51">
        <f t="shared" si="7"/>
        <v>110</v>
      </c>
      <c r="K39" s="51">
        <f t="shared" si="7"/>
        <v>110</v>
      </c>
      <c r="L39" s="51">
        <f t="shared" si="7"/>
        <v>110</v>
      </c>
      <c r="M39" s="51">
        <f t="shared" si="7"/>
        <v>110</v>
      </c>
      <c r="N39" s="87"/>
      <c r="O39" s="87"/>
      <c r="P39" s="87"/>
      <c r="Q39" s="87"/>
      <c r="R39" s="87"/>
      <c r="S39" s="87"/>
      <c r="T39" s="47"/>
      <c r="U39" s="51">
        <f>SUM(U34:U38)</f>
        <v>110</v>
      </c>
    </row>
    <row r="40" spans="1:22">
      <c r="A40" s="75" t="s">
        <v>159</v>
      </c>
      <c r="B40" s="75" t="e">
        <f>SUM(B12,B22,B28,#REF!,B32,B39,#REF!)</f>
        <v>#REF!</v>
      </c>
      <c r="C40" s="75" t="e">
        <f>SUM(C12,C22,C28,#REF!,C32,C39,#REF!)</f>
        <v>#REF!</v>
      </c>
      <c r="D40" s="75" t="e">
        <f>SUM(D12,D22,D28,#REF!,D32,D39,#REF!)</f>
        <v>#REF!</v>
      </c>
      <c r="E40" s="75" t="e">
        <f>SUM(E12,E22,E28,#REF!,E32,E39,#REF!)</f>
        <v>#REF!</v>
      </c>
      <c r="F40" s="75" t="e">
        <f>SUM(F12,F22,F28,#REF!,F32,F39,#REF!)</f>
        <v>#REF!</v>
      </c>
      <c r="G40" s="75" t="e">
        <f>SUM(G12,G22,G28,#REF!,G32,G39,#REF!)</f>
        <v>#REF!</v>
      </c>
      <c r="H40" s="75" t="e">
        <f>SUM(H12,H22,H28,#REF!,H32,H39,#REF!)</f>
        <v>#REF!</v>
      </c>
      <c r="I40" s="97">
        <f>SUM(I5,I39,I28,I32)</f>
        <v>949</v>
      </c>
      <c r="J40" s="97">
        <f t="shared" ref="J40:U40" si="8">SUM(J5,J39,J28,J32)</f>
        <v>620</v>
      </c>
      <c r="K40" s="97">
        <f t="shared" si="8"/>
        <v>630</v>
      </c>
      <c r="L40" s="97">
        <f t="shared" si="8"/>
        <v>620</v>
      </c>
      <c r="M40" s="97">
        <f t="shared" si="8"/>
        <v>630</v>
      </c>
      <c r="N40" s="97" t="e">
        <f t="shared" si="8"/>
        <v>#REF!</v>
      </c>
      <c r="O40" s="97">
        <f t="shared" si="8"/>
        <v>0</v>
      </c>
      <c r="P40" s="97" t="e">
        <f t="shared" si="8"/>
        <v>#REF!</v>
      </c>
      <c r="Q40" s="97" t="e">
        <f t="shared" si="8"/>
        <v>#REF!</v>
      </c>
      <c r="R40" s="97" t="e">
        <f t="shared" si="8"/>
        <v>#REF!</v>
      </c>
      <c r="S40" s="97" t="e">
        <f t="shared" si="8"/>
        <v>#REF!</v>
      </c>
      <c r="T40" s="97">
        <f t="shared" si="8"/>
        <v>0</v>
      </c>
      <c r="U40" s="97">
        <f t="shared" si="8"/>
        <v>620</v>
      </c>
    </row>
    <row r="41" spans="1:22" hidden="1">
      <c r="A41" s="76"/>
      <c r="B41" s="76"/>
      <c r="C41" s="77" t="s">
        <v>355</v>
      </c>
      <c r="D41" s="78" t="s">
        <v>356</v>
      </c>
      <c r="E41" s="79" t="s">
        <v>6</v>
      </c>
      <c r="F41" s="80"/>
      <c r="G41" s="64"/>
    </row>
    <row r="42" spans="1:22" hidden="1">
      <c r="A42" s="81" t="s">
        <v>12</v>
      </c>
      <c r="B42" s="81"/>
      <c r="C42" s="82" t="e">
        <f>แผนรับบัณฑิตศึกษา!#REF!</f>
        <v>#REF!</v>
      </c>
      <c r="D42" s="81"/>
      <c r="E42" s="83" t="e">
        <f>SUM(C42:D42)</f>
        <v>#REF!</v>
      </c>
      <c r="F42" s="53"/>
      <c r="G42" s="53"/>
      <c r="H42" s="53"/>
      <c r="I42" s="48">
        <f>'ปกติ (2)'!I135+'ปกติ (2)'!I136</f>
        <v>35</v>
      </c>
    </row>
    <row r="43" spans="1:22" hidden="1">
      <c r="A43" s="81" t="s">
        <v>25</v>
      </c>
      <c r="B43" s="81"/>
      <c r="C43" s="82" t="e">
        <f>#REF!</f>
        <v>#REF!</v>
      </c>
      <c r="D43" s="82">
        <f>Q19</f>
        <v>32</v>
      </c>
      <c r="E43" s="83" t="e">
        <f>SUM(C43:D43)</f>
        <v>#REF!</v>
      </c>
      <c r="F43" s="53"/>
      <c r="G43" s="53"/>
      <c r="H43" s="53"/>
      <c r="I43" s="48">
        <f>SUM(I40:I42)</f>
        <v>984</v>
      </c>
    </row>
    <row r="44" spans="1:22" hidden="1">
      <c r="A44" s="81" t="s">
        <v>169</v>
      </c>
      <c r="B44" s="81"/>
      <c r="C44" s="82" t="e">
        <f>#REF!</f>
        <v>#REF!</v>
      </c>
      <c r="D44" s="82">
        <f>R19</f>
        <v>4</v>
      </c>
      <c r="E44" s="83" t="e">
        <f>SUM(C44:D44)</f>
        <v>#REF!</v>
      </c>
      <c r="F44" s="53"/>
      <c r="G44" s="53"/>
      <c r="H44" s="53"/>
    </row>
    <row r="45" spans="1:22" hidden="1">
      <c r="A45" s="84" t="s">
        <v>6</v>
      </c>
      <c r="B45" s="84"/>
      <c r="C45" s="85" t="e">
        <f>SUM(C42:C44)</f>
        <v>#REF!</v>
      </c>
      <c r="D45" s="85">
        <f>SUM(D42:D44)</f>
        <v>36</v>
      </c>
      <c r="E45" s="85" t="e">
        <f>SUM(E42:E44)</f>
        <v>#REF!</v>
      </c>
      <c r="F45" s="53"/>
      <c r="G45" s="53"/>
      <c r="H45" s="53"/>
    </row>
    <row r="46" spans="1:22" hidden="1"/>
    <row r="47" spans="1:22" hidden="1">
      <c r="A47" s="887" t="s">
        <v>255</v>
      </c>
      <c r="B47" s="888"/>
      <c r="C47" s="888"/>
      <c r="D47" s="888"/>
    </row>
    <row r="48" spans="1:2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</sheetData>
  <mergeCells count="5">
    <mergeCell ref="A1:M1"/>
    <mergeCell ref="J3:U3"/>
    <mergeCell ref="A47:D47"/>
    <mergeCell ref="A3:A4"/>
    <mergeCell ref="I3:I4"/>
  </mergeCells>
  <printOptions horizontalCentered="1"/>
  <pageMargins left="0.47244094488188998" right="0.47244094488188998" top="0.98425196850393704" bottom="0.98425196850393704" header="0.511811023622047" footer="0.511811023622047"/>
  <pageSetup paperSize="9" scale="95" orientation="portrait" horizontalDpi="300" verticalDpi="300" r:id="rId1"/>
  <headerFooter alignWithMargins="0">
    <oddFooter>&amp;Cหน้าที่ &amp;P จาก &amp;N</oddFooter>
  </headerFooter>
  <rowBreaks count="3" manualBreakCount="3">
    <brk id="22" max="20" man="1"/>
    <brk id="28" max="20" man="1"/>
    <brk id="32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O13" sqref="O13"/>
    </sheetView>
  </sheetViews>
  <sheetFormatPr defaultColWidth="9" defaultRowHeight="21"/>
  <cols>
    <col min="1" max="1" width="18.85546875" style="3" customWidth="1"/>
    <col min="2" max="3" width="9" style="3" hidden="1" customWidth="1"/>
    <col min="4" max="10" width="9.140625" style="3"/>
  </cols>
  <sheetData>
    <row r="1" spans="1:10" ht="23.25">
      <c r="A1" s="900" t="s">
        <v>364</v>
      </c>
      <c r="B1" s="901"/>
      <c r="C1" s="901"/>
      <c r="D1" s="901"/>
      <c r="E1" s="901"/>
      <c r="F1" s="901"/>
      <c r="G1" s="901"/>
      <c r="H1" s="901"/>
      <c r="I1" s="901"/>
      <c r="J1" s="902"/>
    </row>
    <row r="2" spans="1:10" ht="23.25">
      <c r="A2" s="903" t="s">
        <v>365</v>
      </c>
      <c r="B2" s="904"/>
      <c r="C2" s="904"/>
      <c r="D2" s="904"/>
      <c r="E2" s="904"/>
      <c r="F2" s="904"/>
      <c r="G2" s="904"/>
      <c r="H2" s="904"/>
      <c r="I2" s="904"/>
      <c r="J2" s="905"/>
    </row>
    <row r="4" spans="1:10">
      <c r="A4" s="907" t="s">
        <v>3</v>
      </c>
      <c r="B4" s="906" t="s">
        <v>366</v>
      </c>
      <c r="C4" s="906"/>
      <c r="D4" s="906"/>
      <c r="E4" s="906"/>
      <c r="F4" s="906"/>
      <c r="G4" s="906"/>
      <c r="H4" s="906"/>
      <c r="I4" s="906"/>
      <c r="J4" s="906"/>
    </row>
    <row r="5" spans="1:10">
      <c r="A5" s="907"/>
      <c r="B5" s="10">
        <v>2555</v>
      </c>
      <c r="C5" s="30">
        <v>2556</v>
      </c>
      <c r="D5" s="10" t="s">
        <v>178</v>
      </c>
      <c r="E5" s="10" t="s">
        <v>179</v>
      </c>
      <c r="F5" s="10">
        <v>2557</v>
      </c>
      <c r="G5" s="10">
        <v>2558</v>
      </c>
      <c r="H5" s="39">
        <v>2559</v>
      </c>
      <c r="I5" s="10">
        <v>2560</v>
      </c>
      <c r="J5" s="10">
        <v>2561</v>
      </c>
    </row>
    <row r="6" spans="1:10">
      <c r="A6" s="31" t="s">
        <v>367</v>
      </c>
      <c r="B6" s="31">
        <v>31</v>
      </c>
      <c r="C6" s="32">
        <v>27</v>
      </c>
      <c r="D6" s="31">
        <v>13</v>
      </c>
      <c r="E6" s="31">
        <v>14</v>
      </c>
      <c r="F6" s="31">
        <f>SUM(D6:E6)</f>
        <v>27</v>
      </c>
      <c r="G6" s="31">
        <v>25</v>
      </c>
      <c r="H6" s="40">
        <v>25</v>
      </c>
      <c r="I6" s="31">
        <v>25</v>
      </c>
      <c r="J6" s="31">
        <v>25</v>
      </c>
    </row>
    <row r="7" spans="1:10">
      <c r="A7" s="15" t="s">
        <v>368</v>
      </c>
      <c r="B7" s="15">
        <v>24</v>
      </c>
      <c r="C7" s="33">
        <v>30</v>
      </c>
      <c r="D7" s="15">
        <v>10</v>
      </c>
      <c r="E7" s="15">
        <v>14</v>
      </c>
      <c r="F7" s="15">
        <f>SUM(D7:E7)</f>
        <v>24</v>
      </c>
      <c r="G7" s="15">
        <v>27</v>
      </c>
      <c r="H7" s="41">
        <v>24</v>
      </c>
      <c r="I7" s="15">
        <v>25</v>
      </c>
      <c r="J7" s="15">
        <v>25</v>
      </c>
    </row>
    <row r="8" spans="1:10">
      <c r="A8" s="15" t="s">
        <v>369</v>
      </c>
      <c r="B8" s="15">
        <v>19</v>
      </c>
      <c r="C8" s="33">
        <v>23</v>
      </c>
      <c r="D8" s="15">
        <v>13</v>
      </c>
      <c r="E8" s="15">
        <v>16</v>
      </c>
      <c r="F8" s="15">
        <f t="shared" ref="F8:F10" si="0">SUM(D8:E8)</f>
        <v>29</v>
      </c>
      <c r="G8" s="15">
        <v>24</v>
      </c>
      <c r="H8" s="41">
        <v>23</v>
      </c>
      <c r="I8" s="15">
        <v>25</v>
      </c>
      <c r="J8" s="15">
        <v>25</v>
      </c>
    </row>
    <row r="9" spans="1:10">
      <c r="A9" s="15" t="s">
        <v>370</v>
      </c>
      <c r="B9" s="15"/>
      <c r="C9" s="33">
        <v>24</v>
      </c>
      <c r="D9" s="15">
        <v>10</v>
      </c>
      <c r="E9" s="15">
        <v>13</v>
      </c>
      <c r="F9" s="15">
        <f t="shared" si="0"/>
        <v>23</v>
      </c>
      <c r="G9" s="15">
        <v>29</v>
      </c>
      <c r="H9" s="41">
        <v>25</v>
      </c>
      <c r="I9" s="15">
        <v>27</v>
      </c>
      <c r="J9" s="15">
        <v>25</v>
      </c>
    </row>
    <row r="10" spans="1:10">
      <c r="A10" s="15" t="s">
        <v>371</v>
      </c>
      <c r="B10" s="15"/>
      <c r="C10" s="33"/>
      <c r="D10" s="15">
        <v>10</v>
      </c>
      <c r="E10" s="15">
        <v>14</v>
      </c>
      <c r="F10" s="15">
        <f t="shared" si="0"/>
        <v>24</v>
      </c>
      <c r="G10" s="15">
        <v>23</v>
      </c>
      <c r="H10" s="41">
        <v>24</v>
      </c>
      <c r="I10" s="15">
        <v>24</v>
      </c>
      <c r="J10" s="15">
        <v>27</v>
      </c>
    </row>
    <row r="11" spans="1:10">
      <c r="A11" s="15" t="s">
        <v>372</v>
      </c>
      <c r="B11" s="15"/>
      <c r="C11" s="33"/>
      <c r="D11" s="15"/>
      <c r="E11" s="15"/>
      <c r="F11" s="15"/>
      <c r="G11" s="15">
        <v>24</v>
      </c>
      <c r="H11" s="41">
        <v>22</v>
      </c>
      <c r="I11" s="15">
        <v>29</v>
      </c>
      <c r="J11" s="15">
        <v>24</v>
      </c>
    </row>
    <row r="12" spans="1:10">
      <c r="A12" s="15" t="s">
        <v>373</v>
      </c>
      <c r="B12" s="15"/>
      <c r="C12" s="33"/>
      <c r="D12" s="15"/>
      <c r="E12" s="15"/>
      <c r="F12" s="15"/>
      <c r="G12" s="15"/>
      <c r="H12" s="41">
        <v>21</v>
      </c>
      <c r="I12" s="15">
        <v>23</v>
      </c>
      <c r="J12" s="15">
        <v>29</v>
      </c>
    </row>
    <row r="13" spans="1:10">
      <c r="A13" s="15" t="s">
        <v>374</v>
      </c>
      <c r="B13" s="15"/>
      <c r="C13" s="33"/>
      <c r="D13" s="15"/>
      <c r="E13" s="15"/>
      <c r="F13" s="15"/>
      <c r="G13" s="15"/>
      <c r="H13" s="41"/>
      <c r="I13" s="15">
        <v>24</v>
      </c>
      <c r="J13" s="15">
        <v>23</v>
      </c>
    </row>
    <row r="14" spans="1:10">
      <c r="A14" s="34" t="s">
        <v>375</v>
      </c>
      <c r="B14" s="34"/>
      <c r="C14" s="35"/>
      <c r="D14" s="34"/>
      <c r="E14" s="34"/>
      <c r="F14" s="34"/>
      <c r="G14" s="34"/>
      <c r="H14" s="42"/>
      <c r="I14" s="34"/>
      <c r="J14" s="34">
        <v>24</v>
      </c>
    </row>
    <row r="15" spans="1:10">
      <c r="A15" s="10" t="s">
        <v>6</v>
      </c>
      <c r="B15" s="36">
        <f>SUM(B6:B14)</f>
        <v>74</v>
      </c>
      <c r="C15" s="37">
        <f t="shared" ref="C15:J15" si="1">SUM(C6:C14)</f>
        <v>104</v>
      </c>
      <c r="D15" s="36"/>
      <c r="E15" s="36"/>
      <c r="F15" s="36">
        <f>SUM(F6:F14)</f>
        <v>127</v>
      </c>
      <c r="G15" s="36">
        <f t="shared" si="1"/>
        <v>152</v>
      </c>
      <c r="H15" s="43">
        <f t="shared" si="1"/>
        <v>164</v>
      </c>
      <c r="I15" s="36">
        <f t="shared" si="1"/>
        <v>202</v>
      </c>
      <c r="J15" s="36">
        <f t="shared" si="1"/>
        <v>227</v>
      </c>
    </row>
    <row r="16" spans="1:10">
      <c r="C16" s="38" t="e">
        <f>C15-#REF!</f>
        <v>#REF!</v>
      </c>
      <c r="D16" s="932" t="s">
        <v>377</v>
      </c>
      <c r="E16" s="933"/>
      <c r="F16" s="7">
        <f>H6+H7+H8</f>
        <v>72</v>
      </c>
    </row>
    <row r="17" spans="1:6">
      <c r="C17" s="38">
        <v>24</v>
      </c>
      <c r="D17" s="932" t="s">
        <v>376</v>
      </c>
      <c r="E17" s="933"/>
      <c r="F17" s="7">
        <f>H9+H10+H11+H12</f>
        <v>92</v>
      </c>
    </row>
    <row r="18" spans="1:6">
      <c r="C18" s="38" t="e">
        <f>SUM(C16:C16)</f>
        <v>#REF!</v>
      </c>
      <c r="D18" s="930" t="s">
        <v>6</v>
      </c>
      <c r="E18" s="931"/>
      <c r="F18" s="36">
        <f>SUM(F16:F17)</f>
        <v>164</v>
      </c>
    </row>
    <row r="19" spans="1:6">
      <c r="A19" s="44" t="s">
        <v>405</v>
      </c>
    </row>
    <row r="20" spans="1:6">
      <c r="A20" s="44" t="s">
        <v>406</v>
      </c>
    </row>
  </sheetData>
  <mergeCells count="7">
    <mergeCell ref="D18:E18"/>
    <mergeCell ref="A4:A5"/>
    <mergeCell ref="A1:J1"/>
    <mergeCell ref="A2:J2"/>
    <mergeCell ref="B4:J4"/>
    <mergeCell ref="D16:E16"/>
    <mergeCell ref="D17:E17"/>
  </mergeCell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workbookViewId="0">
      <selection activeCell="H20" sqref="H20"/>
    </sheetView>
  </sheetViews>
  <sheetFormatPr defaultColWidth="9" defaultRowHeight="21"/>
  <cols>
    <col min="1" max="1" width="18.85546875" style="3" customWidth="1"/>
    <col min="2" max="3" width="9" style="3" hidden="1" customWidth="1"/>
    <col min="4" max="10" width="9.140625" style="3"/>
  </cols>
  <sheetData>
    <row r="1" spans="1:10" ht="23.25">
      <c r="A1" s="900" t="s">
        <v>364</v>
      </c>
      <c r="B1" s="901"/>
      <c r="C1" s="901"/>
      <c r="D1" s="901"/>
      <c r="E1" s="901"/>
      <c r="F1" s="901"/>
      <c r="G1" s="901"/>
      <c r="H1" s="901"/>
      <c r="I1" s="901"/>
      <c r="J1" s="902"/>
    </row>
    <row r="2" spans="1:10" ht="23.25">
      <c r="A2" s="903" t="s">
        <v>365</v>
      </c>
      <c r="B2" s="904"/>
      <c r="C2" s="904"/>
      <c r="D2" s="904"/>
      <c r="E2" s="904"/>
      <c r="F2" s="904"/>
      <c r="G2" s="904"/>
      <c r="H2" s="904"/>
      <c r="I2" s="904"/>
      <c r="J2" s="905"/>
    </row>
    <row r="4" spans="1:10">
      <c r="A4" s="907" t="s">
        <v>3</v>
      </c>
      <c r="B4" s="906" t="s">
        <v>366</v>
      </c>
      <c r="C4" s="906"/>
      <c r="D4" s="906"/>
      <c r="E4" s="906"/>
      <c r="F4" s="906"/>
      <c r="G4" s="906"/>
      <c r="H4" s="906"/>
      <c r="I4" s="906"/>
      <c r="J4" s="906"/>
    </row>
    <row r="5" spans="1:10">
      <c r="A5" s="907"/>
      <c r="B5" s="10">
        <v>2555</v>
      </c>
      <c r="C5" s="30">
        <v>2556</v>
      </c>
      <c r="D5" s="10" t="s">
        <v>178</v>
      </c>
      <c r="E5" s="10" t="s">
        <v>179</v>
      </c>
      <c r="F5" s="10">
        <v>2557</v>
      </c>
      <c r="G5" s="10">
        <v>2558</v>
      </c>
      <c r="H5" s="10">
        <v>2559</v>
      </c>
      <c r="I5" s="10">
        <v>2560</v>
      </c>
      <c r="J5" s="10">
        <v>2561</v>
      </c>
    </row>
    <row r="6" spans="1:10">
      <c r="A6" s="31" t="s">
        <v>367</v>
      </c>
      <c r="B6" s="31">
        <v>31</v>
      </c>
      <c r="C6" s="32">
        <v>27</v>
      </c>
      <c r="D6" s="31">
        <v>13</v>
      </c>
      <c r="E6" s="31">
        <v>14</v>
      </c>
      <c r="F6" s="31">
        <f>SUM(D6:E6)</f>
        <v>27</v>
      </c>
      <c r="G6" s="31">
        <v>25</v>
      </c>
      <c r="H6" s="31">
        <v>25</v>
      </c>
      <c r="I6" s="31">
        <v>25</v>
      </c>
      <c r="J6" s="31">
        <v>25</v>
      </c>
    </row>
    <row r="7" spans="1:10">
      <c r="A7" s="15" t="s">
        <v>368</v>
      </c>
      <c r="B7" s="15">
        <v>24</v>
      </c>
      <c r="C7" s="33">
        <v>30</v>
      </c>
      <c r="D7" s="15">
        <v>10</v>
      </c>
      <c r="E7" s="15">
        <v>14</v>
      </c>
      <c r="F7" s="15">
        <f>SUM(D7:E7)</f>
        <v>24</v>
      </c>
      <c r="G7" s="15">
        <v>27</v>
      </c>
      <c r="H7" s="15">
        <v>25</v>
      </c>
      <c r="I7" s="15">
        <v>25</v>
      </c>
      <c r="J7" s="15">
        <v>25</v>
      </c>
    </row>
    <row r="8" spans="1:10">
      <c r="A8" s="15" t="s">
        <v>369</v>
      </c>
      <c r="B8" s="15">
        <v>19</v>
      </c>
      <c r="C8" s="33">
        <v>23</v>
      </c>
      <c r="D8" s="15">
        <v>13</v>
      </c>
      <c r="E8" s="15">
        <v>16</v>
      </c>
      <c r="F8" s="15">
        <f t="shared" ref="F8:F10" si="0">SUM(D8:E8)</f>
        <v>29</v>
      </c>
      <c r="G8" s="15">
        <v>24</v>
      </c>
      <c r="H8" s="15">
        <v>27</v>
      </c>
      <c r="I8" s="15">
        <v>25</v>
      </c>
      <c r="J8" s="15">
        <v>25</v>
      </c>
    </row>
    <row r="9" spans="1:10">
      <c r="A9" s="15" t="s">
        <v>370</v>
      </c>
      <c r="B9" s="15"/>
      <c r="C9" s="33">
        <v>24</v>
      </c>
      <c r="D9" s="15">
        <v>10</v>
      </c>
      <c r="E9" s="15">
        <v>13</v>
      </c>
      <c r="F9" s="15">
        <f t="shared" si="0"/>
        <v>23</v>
      </c>
      <c r="G9" s="15">
        <v>29</v>
      </c>
      <c r="H9" s="15">
        <v>24</v>
      </c>
      <c r="I9" s="15">
        <v>27</v>
      </c>
      <c r="J9" s="15">
        <v>25</v>
      </c>
    </row>
    <row r="10" spans="1:10">
      <c r="A10" s="15" t="s">
        <v>371</v>
      </c>
      <c r="B10" s="15"/>
      <c r="C10" s="33"/>
      <c r="D10" s="15">
        <v>10</v>
      </c>
      <c r="E10" s="15">
        <v>14</v>
      </c>
      <c r="F10" s="15">
        <f t="shared" si="0"/>
        <v>24</v>
      </c>
      <c r="G10" s="15">
        <v>23</v>
      </c>
      <c r="H10" s="15">
        <v>29</v>
      </c>
      <c r="I10" s="15">
        <v>24</v>
      </c>
      <c r="J10" s="15">
        <v>27</v>
      </c>
    </row>
    <row r="11" spans="1:10">
      <c r="A11" s="15" t="s">
        <v>372</v>
      </c>
      <c r="B11" s="15"/>
      <c r="C11" s="33"/>
      <c r="D11" s="15"/>
      <c r="E11" s="15"/>
      <c r="F11" s="15"/>
      <c r="G11" s="15"/>
      <c r="H11" s="15">
        <v>23</v>
      </c>
      <c r="I11" s="15">
        <v>29</v>
      </c>
      <c r="J11" s="15">
        <v>24</v>
      </c>
    </row>
    <row r="12" spans="1:10">
      <c r="A12" s="15" t="s">
        <v>373</v>
      </c>
      <c r="B12" s="15"/>
      <c r="C12" s="33"/>
      <c r="D12" s="15"/>
      <c r="E12" s="15"/>
      <c r="F12" s="15"/>
      <c r="G12" s="15"/>
      <c r="H12" s="15">
        <v>24</v>
      </c>
      <c r="I12" s="15">
        <v>23</v>
      </c>
      <c r="J12" s="15">
        <v>29</v>
      </c>
    </row>
    <row r="13" spans="1:10">
      <c r="A13" s="15" t="s">
        <v>374</v>
      </c>
      <c r="B13" s="15"/>
      <c r="C13" s="33"/>
      <c r="D13" s="15"/>
      <c r="E13" s="15"/>
      <c r="F13" s="15"/>
      <c r="G13" s="15"/>
      <c r="H13" s="15"/>
      <c r="I13" s="15">
        <v>24</v>
      </c>
      <c r="J13" s="15">
        <v>23</v>
      </c>
    </row>
    <row r="14" spans="1:10">
      <c r="A14" s="34" t="s">
        <v>375</v>
      </c>
      <c r="B14" s="34"/>
      <c r="C14" s="35"/>
      <c r="D14" s="34"/>
      <c r="E14" s="34"/>
      <c r="F14" s="34"/>
      <c r="G14" s="34"/>
      <c r="H14" s="34"/>
      <c r="I14" s="34"/>
      <c r="J14" s="34">
        <v>24</v>
      </c>
    </row>
    <row r="15" spans="1:10">
      <c r="A15" s="10" t="s">
        <v>6</v>
      </c>
      <c r="B15" s="36">
        <f>SUM(B6:B14)</f>
        <v>74</v>
      </c>
      <c r="C15" s="37">
        <f t="shared" ref="C15:J15" si="1">SUM(C6:C14)</f>
        <v>104</v>
      </c>
      <c r="D15" s="36"/>
      <c r="E15" s="36"/>
      <c r="F15" s="36">
        <f>SUM(F6:F14)</f>
        <v>127</v>
      </c>
      <c r="G15" s="36">
        <f t="shared" si="1"/>
        <v>128</v>
      </c>
      <c r="H15" s="36">
        <f t="shared" si="1"/>
        <v>177</v>
      </c>
      <c r="I15" s="36">
        <f t="shared" si="1"/>
        <v>202</v>
      </c>
      <c r="J15" s="36">
        <f t="shared" si="1"/>
        <v>227</v>
      </c>
    </row>
    <row r="16" spans="1:10">
      <c r="C16" s="38" t="e">
        <f>C15-#REF!</f>
        <v>#REF!</v>
      </c>
      <c r="D16" s="932" t="s">
        <v>377</v>
      </c>
      <c r="E16" s="933"/>
      <c r="F16" s="7">
        <f>F6+F7+F8</f>
        <v>80</v>
      </c>
    </row>
    <row r="17" spans="1:6">
      <c r="C17" s="38">
        <v>24</v>
      </c>
      <c r="D17" s="932" t="s">
        <v>376</v>
      </c>
      <c r="E17" s="933"/>
      <c r="F17" s="7">
        <f>F9+F10</f>
        <v>47</v>
      </c>
    </row>
    <row r="18" spans="1:6">
      <c r="C18" s="38" t="e">
        <f>SUM(C16:C16)</f>
        <v>#REF!</v>
      </c>
      <c r="D18" s="930" t="s">
        <v>6</v>
      </c>
      <c r="E18" s="931"/>
      <c r="F18" s="36">
        <f>SUM(F16:F17)</f>
        <v>127</v>
      </c>
    </row>
    <row r="19" spans="1:6">
      <c r="A19" s="1" t="s">
        <v>407</v>
      </c>
    </row>
    <row r="20" spans="1:6">
      <c r="A20" s="1" t="s">
        <v>406</v>
      </c>
    </row>
  </sheetData>
  <mergeCells count="7">
    <mergeCell ref="D18:E18"/>
    <mergeCell ref="A4:A5"/>
    <mergeCell ref="A1:J1"/>
    <mergeCell ref="A2:J2"/>
    <mergeCell ref="B4:J4"/>
    <mergeCell ref="D16:E16"/>
    <mergeCell ref="D17:E1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zoomScale="110" zoomScaleNormal="110" zoomScaleSheetLayoutView="130" workbookViewId="0">
      <pane ySplit="4" topLeftCell="A42" activePane="bottomLeft" state="frozen"/>
      <selection pane="bottomLeft" activeCell="M59" sqref="M59"/>
    </sheetView>
  </sheetViews>
  <sheetFormatPr defaultColWidth="9.140625" defaultRowHeight="21" customHeight="1"/>
  <cols>
    <col min="1" max="1" width="41.7109375" style="47" customWidth="1"/>
    <col min="2" max="2" width="7.42578125" style="47" customWidth="1"/>
    <col min="3" max="3" width="7.42578125" style="320" customWidth="1"/>
    <col min="4" max="6" width="7.42578125" style="106" customWidth="1"/>
    <col min="7" max="7" width="9.7109375" style="106" customWidth="1"/>
    <col min="8" max="9" width="10.85546875" style="106" hidden="1" customWidth="1"/>
    <col min="10" max="10" width="10" style="106" hidden="1" customWidth="1"/>
    <col min="11" max="12" width="10.85546875" style="106" hidden="1" customWidth="1"/>
    <col min="13" max="13" width="28.140625" style="105" customWidth="1"/>
    <col min="14" max="21" width="10.85546875" style="106" customWidth="1"/>
    <col min="22" max="16384" width="9.140625" style="47"/>
  </cols>
  <sheetData>
    <row r="1" spans="1:26" ht="21" customHeight="1">
      <c r="A1" s="792" t="s">
        <v>29</v>
      </c>
      <c r="B1" s="792"/>
      <c r="C1" s="792"/>
      <c r="D1" s="792"/>
      <c r="E1" s="792"/>
      <c r="F1" s="792"/>
      <c r="G1" s="792"/>
      <c r="H1" s="108"/>
      <c r="I1" s="108"/>
      <c r="J1" s="108"/>
      <c r="K1" s="108"/>
      <c r="L1" s="108"/>
      <c r="M1" s="107"/>
      <c r="N1" s="108"/>
      <c r="O1" s="108"/>
      <c r="P1" s="108"/>
      <c r="Q1" s="108"/>
      <c r="R1" s="108"/>
      <c r="S1" s="108"/>
      <c r="T1" s="108"/>
      <c r="U1" s="108"/>
    </row>
    <row r="2" spans="1:26" ht="21" customHeight="1">
      <c r="A2" s="793"/>
      <c r="B2" s="793"/>
      <c r="C2" s="793"/>
      <c r="D2" s="793"/>
      <c r="E2" s="793"/>
      <c r="F2" s="793"/>
      <c r="G2" s="793"/>
      <c r="H2" s="154"/>
      <c r="I2" s="154"/>
      <c r="J2" s="154"/>
      <c r="K2" s="154"/>
      <c r="L2" s="154"/>
      <c r="M2" s="794" t="s">
        <v>30</v>
      </c>
      <c r="N2" s="794"/>
      <c r="O2" s="794"/>
      <c r="P2" s="794"/>
      <c r="Q2" s="794"/>
      <c r="R2" s="794"/>
      <c r="S2" s="794"/>
      <c r="T2" s="154"/>
      <c r="U2" s="154"/>
    </row>
    <row r="3" spans="1:26" ht="21" customHeight="1">
      <c r="A3" s="803" t="s">
        <v>31</v>
      </c>
      <c r="B3" s="795" t="s">
        <v>32</v>
      </c>
      <c r="C3" s="796"/>
      <c r="D3" s="796"/>
      <c r="E3" s="796"/>
      <c r="F3" s="796"/>
      <c r="G3" s="797"/>
      <c r="H3" s="108"/>
      <c r="I3" s="108"/>
      <c r="J3" s="108"/>
      <c r="K3" s="108"/>
      <c r="L3" s="108"/>
      <c r="M3" s="107"/>
      <c r="N3" s="108"/>
      <c r="O3" s="108"/>
      <c r="P3" s="108"/>
      <c r="Q3" s="108"/>
      <c r="R3" s="108"/>
      <c r="S3" s="108"/>
      <c r="T3" s="108"/>
      <c r="U3" s="108"/>
    </row>
    <row r="4" spans="1:26" ht="21" customHeight="1">
      <c r="A4" s="804"/>
      <c r="B4" s="762" t="s">
        <v>33</v>
      </c>
      <c r="C4" s="762" t="s">
        <v>34</v>
      </c>
      <c r="D4" s="762" t="s">
        <v>35</v>
      </c>
      <c r="E4" s="762" t="s">
        <v>36</v>
      </c>
      <c r="F4" s="762" t="s">
        <v>37</v>
      </c>
      <c r="G4" s="286" t="s">
        <v>6</v>
      </c>
      <c r="H4" s="400"/>
      <c r="I4" s="400"/>
      <c r="J4" s="400"/>
      <c r="K4" s="400"/>
      <c r="L4" s="400"/>
      <c r="M4" s="805" t="s">
        <v>38</v>
      </c>
      <c r="N4" s="798" t="s">
        <v>39</v>
      </c>
      <c r="O4" s="798"/>
      <c r="P4" s="798"/>
      <c r="Q4" s="798"/>
      <c r="R4" s="798"/>
      <c r="S4" s="807" t="s">
        <v>6</v>
      </c>
      <c r="T4" s="400"/>
      <c r="U4" s="400"/>
    </row>
    <row r="5" spans="1:26" ht="21" customHeight="1">
      <c r="A5" s="215" t="s">
        <v>40</v>
      </c>
      <c r="B5" s="523">
        <f t="shared" ref="B5:G5" si="0">SUM(B20,B23,B29)</f>
        <v>579</v>
      </c>
      <c r="C5" s="523">
        <f t="shared" si="0"/>
        <v>624</v>
      </c>
      <c r="D5" s="523">
        <f t="shared" si="0"/>
        <v>527</v>
      </c>
      <c r="E5" s="523">
        <f t="shared" si="0"/>
        <v>1166</v>
      </c>
      <c r="F5" s="523">
        <f t="shared" si="0"/>
        <v>67</v>
      </c>
      <c r="G5" s="523">
        <f t="shared" si="0"/>
        <v>2963</v>
      </c>
      <c r="H5" s="403"/>
      <c r="I5" s="403"/>
      <c r="J5" s="403"/>
      <c r="K5" s="403"/>
      <c r="L5" s="403"/>
      <c r="M5" s="806"/>
      <c r="N5" s="113" t="s">
        <v>41</v>
      </c>
      <c r="O5" s="110" t="s">
        <v>42</v>
      </c>
      <c r="P5" s="110" t="s">
        <v>43</v>
      </c>
      <c r="Q5" s="110" t="s">
        <v>25</v>
      </c>
      <c r="R5" s="110" t="s">
        <v>44</v>
      </c>
      <c r="S5" s="808"/>
      <c r="T5" s="403"/>
      <c r="U5" s="403"/>
      <c r="X5" s="301">
        <f>G5</f>
        <v>2963</v>
      </c>
    </row>
    <row r="6" spans="1:26" ht="21" customHeight="1">
      <c r="A6" s="219" t="s">
        <v>45</v>
      </c>
      <c r="B6" s="219">
        <v>52</v>
      </c>
      <c r="C6" s="525">
        <v>54</v>
      </c>
      <c r="D6" s="526">
        <v>55</v>
      </c>
      <c r="E6" s="526">
        <f>54+63</f>
        <v>117</v>
      </c>
      <c r="F6" s="526">
        <v>8</v>
      </c>
      <c r="G6" s="526">
        <f t="shared" ref="G6:G19" si="1">SUM(B6:F6)</f>
        <v>286</v>
      </c>
      <c r="H6" s="88"/>
      <c r="I6" s="88"/>
      <c r="J6" s="131">
        <f t="shared" ref="J6:J19" si="2">SUM(C6:F6)</f>
        <v>234</v>
      </c>
      <c r="K6" s="88"/>
      <c r="L6" s="88"/>
      <c r="M6" s="126" t="s">
        <v>46</v>
      </c>
      <c r="N6" s="127"/>
      <c r="O6" s="127"/>
      <c r="P6" s="127">
        <f>G20</f>
        <v>2933</v>
      </c>
      <c r="Q6" s="127"/>
      <c r="R6" s="127">
        <f>G29</f>
        <v>30</v>
      </c>
      <c r="S6" s="127">
        <f t="shared" ref="S6:S14" si="3">SUM(N6:R6)</f>
        <v>2963</v>
      </c>
      <c r="T6" s="88"/>
      <c r="U6" s="88"/>
      <c r="V6" s="306">
        <v>58</v>
      </c>
      <c r="W6" s="301">
        <v>122</v>
      </c>
      <c r="X6" s="301">
        <v>117</v>
      </c>
      <c r="Y6" s="301">
        <v>114</v>
      </c>
      <c r="Z6" s="301">
        <v>84</v>
      </c>
    </row>
    <row r="7" spans="1:26" ht="21" customHeight="1">
      <c r="A7" s="222" t="s">
        <v>47</v>
      </c>
      <c r="B7" s="222">
        <v>54</v>
      </c>
      <c r="C7" s="528">
        <v>47</v>
      </c>
      <c r="D7" s="529">
        <v>52</v>
      </c>
      <c r="E7" s="529">
        <v>116</v>
      </c>
      <c r="F7" s="529">
        <v>17</v>
      </c>
      <c r="G7" s="529">
        <f t="shared" si="1"/>
        <v>286</v>
      </c>
      <c r="H7" s="88"/>
      <c r="I7" s="88"/>
      <c r="J7" s="131">
        <f t="shared" si="2"/>
        <v>232</v>
      </c>
      <c r="K7" s="88"/>
      <c r="L7" s="88"/>
      <c r="M7" s="126" t="s">
        <v>48</v>
      </c>
      <c r="N7" s="127"/>
      <c r="O7" s="127">
        <f>G112</f>
        <v>1521</v>
      </c>
      <c r="P7" s="127"/>
      <c r="Q7" s="127"/>
      <c r="R7" s="127"/>
      <c r="S7" s="127">
        <f t="shared" si="3"/>
        <v>1521</v>
      </c>
      <c r="T7" s="88"/>
      <c r="U7" s="88"/>
      <c r="V7" s="306">
        <v>57</v>
      </c>
      <c r="W7" s="301">
        <v>128</v>
      </c>
      <c r="X7" s="301">
        <v>101</v>
      </c>
      <c r="Y7" s="301">
        <v>51</v>
      </c>
      <c r="Z7" s="301">
        <v>30</v>
      </c>
    </row>
    <row r="8" spans="1:26" ht="21" customHeight="1">
      <c r="A8" s="222" t="s">
        <v>49</v>
      </c>
      <c r="B8" s="222">
        <v>59</v>
      </c>
      <c r="C8" s="528">
        <v>59</v>
      </c>
      <c r="D8" s="529">
        <v>51</v>
      </c>
      <c r="E8" s="529">
        <f>55+59</f>
        <v>114</v>
      </c>
      <c r="F8" s="529"/>
      <c r="G8" s="529">
        <f t="shared" si="1"/>
        <v>283</v>
      </c>
      <c r="H8" s="88"/>
      <c r="I8" s="88"/>
      <c r="J8" s="131">
        <f t="shared" si="2"/>
        <v>224</v>
      </c>
      <c r="K8" s="88"/>
      <c r="L8" s="88"/>
      <c r="M8" s="126" t="s">
        <v>50</v>
      </c>
      <c r="N8" s="127">
        <f>G131</f>
        <v>252</v>
      </c>
      <c r="O8" s="127">
        <f>G125</f>
        <v>1753</v>
      </c>
      <c r="P8" s="127"/>
      <c r="Q8" s="127">
        <f>G135</f>
        <v>0</v>
      </c>
      <c r="R8" s="127"/>
      <c r="S8" s="127">
        <f t="shared" si="3"/>
        <v>2005</v>
      </c>
      <c r="T8" s="88"/>
      <c r="U8" s="88"/>
      <c r="V8" s="306">
        <v>58</v>
      </c>
      <c r="W8" s="301">
        <v>116</v>
      </c>
      <c r="X8" s="301">
        <v>111</v>
      </c>
      <c r="Y8" s="301">
        <v>99</v>
      </c>
      <c r="Z8" s="301">
        <v>41</v>
      </c>
    </row>
    <row r="9" spans="1:26" ht="21" customHeight="1">
      <c r="A9" s="222" t="s">
        <v>51</v>
      </c>
      <c r="B9" s="222">
        <v>60</v>
      </c>
      <c r="C9" s="528">
        <v>49</v>
      </c>
      <c r="D9" s="529">
        <v>38</v>
      </c>
      <c r="E9" s="529">
        <f>59+61</f>
        <v>120</v>
      </c>
      <c r="F9" s="529">
        <v>3</v>
      </c>
      <c r="G9" s="529">
        <f t="shared" si="1"/>
        <v>270</v>
      </c>
      <c r="H9" s="88"/>
      <c r="I9" s="88"/>
      <c r="J9" s="131">
        <f t="shared" si="2"/>
        <v>210</v>
      </c>
      <c r="K9" s="88"/>
      <c r="L9" s="88"/>
      <c r="M9" s="49" t="s">
        <v>6</v>
      </c>
      <c r="N9" s="49">
        <f>SUM(N6:N8)</f>
        <v>252</v>
      </c>
      <c r="O9" s="49">
        <f>SUM(O6:O8)</f>
        <v>3274</v>
      </c>
      <c r="P9" s="49">
        <f>SUM(P6:P8)</f>
        <v>2933</v>
      </c>
      <c r="Q9" s="49">
        <f>SUM(Q6:Q8)</f>
        <v>0</v>
      </c>
      <c r="R9" s="49">
        <f>SUM(R6:R8)</f>
        <v>30</v>
      </c>
      <c r="S9" s="49">
        <f t="shared" si="3"/>
        <v>6489</v>
      </c>
      <c r="T9" s="88"/>
      <c r="U9" s="88"/>
      <c r="V9" s="306">
        <v>52</v>
      </c>
      <c r="W9" s="301">
        <v>123</v>
      </c>
      <c r="X9" s="301">
        <v>94</v>
      </c>
      <c r="Y9" s="301">
        <v>98</v>
      </c>
      <c r="Z9" s="301">
        <v>82</v>
      </c>
    </row>
    <row r="10" spans="1:26" ht="21" customHeight="1">
      <c r="A10" s="222" t="s">
        <v>52</v>
      </c>
      <c r="B10" s="222">
        <v>53</v>
      </c>
      <c r="C10" s="528">
        <v>54</v>
      </c>
      <c r="D10" s="529">
        <v>46</v>
      </c>
      <c r="E10" s="529">
        <f>55+60</f>
        <v>115</v>
      </c>
      <c r="F10" s="529">
        <v>3</v>
      </c>
      <c r="G10" s="529">
        <f t="shared" si="1"/>
        <v>271</v>
      </c>
      <c r="H10" s="88"/>
      <c r="I10" s="88"/>
      <c r="J10" s="131">
        <f t="shared" si="2"/>
        <v>218</v>
      </c>
      <c r="K10" s="88"/>
      <c r="L10" s="88"/>
      <c r="M10" s="126" t="s">
        <v>53</v>
      </c>
      <c r="N10" s="127"/>
      <c r="O10" s="127">
        <f>G42</f>
        <v>1308</v>
      </c>
      <c r="P10" s="127"/>
      <c r="Q10" s="127">
        <f>G47</f>
        <v>15</v>
      </c>
      <c r="R10" s="127">
        <f>G50</f>
        <v>7</v>
      </c>
      <c r="S10" s="127">
        <f t="shared" si="3"/>
        <v>1330</v>
      </c>
      <c r="T10" s="88"/>
      <c r="U10" s="88"/>
      <c r="V10" s="306">
        <v>59</v>
      </c>
      <c r="W10" s="301">
        <v>120</v>
      </c>
      <c r="X10" s="301">
        <v>116</v>
      </c>
      <c r="Y10" s="301">
        <v>88</v>
      </c>
      <c r="Z10" s="301">
        <v>34</v>
      </c>
    </row>
    <row r="11" spans="1:26" ht="21" customHeight="1">
      <c r="A11" s="222" t="s">
        <v>54</v>
      </c>
      <c r="B11" s="222">
        <v>50</v>
      </c>
      <c r="C11" s="528">
        <v>42</v>
      </c>
      <c r="D11" s="529">
        <v>40</v>
      </c>
      <c r="E11" s="529">
        <f>59+55</f>
        <v>114</v>
      </c>
      <c r="F11" s="529">
        <v>3</v>
      </c>
      <c r="G11" s="529">
        <f t="shared" si="1"/>
        <v>249</v>
      </c>
      <c r="H11" s="88"/>
      <c r="I11" s="88"/>
      <c r="J11" s="131">
        <f t="shared" si="2"/>
        <v>199</v>
      </c>
      <c r="K11" s="88"/>
      <c r="L11" s="88"/>
      <c r="M11" s="126" t="s">
        <v>55</v>
      </c>
      <c r="N11" s="127"/>
      <c r="O11" s="127">
        <f>G79</f>
        <v>775</v>
      </c>
      <c r="P11" s="127"/>
      <c r="Q11" s="127"/>
      <c r="R11" s="127"/>
      <c r="S11" s="127">
        <f t="shared" si="3"/>
        <v>775</v>
      </c>
      <c r="T11" s="88"/>
      <c r="U11" s="88"/>
      <c r="V11" s="306">
        <v>51</v>
      </c>
      <c r="W11" s="301">
        <v>116</v>
      </c>
      <c r="X11" s="301">
        <v>102</v>
      </c>
      <c r="Y11" s="301">
        <v>65</v>
      </c>
      <c r="Z11" s="301">
        <v>54</v>
      </c>
    </row>
    <row r="12" spans="1:26" s="46" customFormat="1" ht="21" customHeight="1">
      <c r="A12" s="692" t="s">
        <v>56</v>
      </c>
      <c r="B12" s="706">
        <v>49</v>
      </c>
      <c r="C12" s="707">
        <v>43</v>
      </c>
      <c r="D12" s="529">
        <v>53</v>
      </c>
      <c r="E12" s="529">
        <v>41</v>
      </c>
      <c r="F12" s="275"/>
      <c r="G12" s="275">
        <f t="shared" si="1"/>
        <v>186</v>
      </c>
      <c r="H12" s="123"/>
      <c r="I12" s="123"/>
      <c r="J12" s="133">
        <f t="shared" si="2"/>
        <v>137</v>
      </c>
      <c r="K12" s="123"/>
      <c r="L12" s="123"/>
      <c r="M12" s="115" t="s">
        <v>57</v>
      </c>
      <c r="N12" s="117">
        <f>G74</f>
        <v>144</v>
      </c>
      <c r="O12" s="117">
        <f>G63</f>
        <v>723</v>
      </c>
      <c r="P12" s="117"/>
      <c r="Q12" s="117">
        <f>G78</f>
        <v>3</v>
      </c>
      <c r="R12" s="117"/>
      <c r="S12" s="117">
        <f t="shared" si="3"/>
        <v>870</v>
      </c>
      <c r="T12" s="123"/>
      <c r="U12" s="123"/>
      <c r="V12" s="470">
        <v>57</v>
      </c>
      <c r="W12" s="310">
        <v>43</v>
      </c>
      <c r="X12" s="310"/>
      <c r="Y12" s="310">
        <v>18</v>
      </c>
      <c r="Z12" s="310">
        <v>1</v>
      </c>
    </row>
    <row r="13" spans="1:26" ht="21" customHeight="1">
      <c r="A13" s="222" t="s">
        <v>17</v>
      </c>
      <c r="B13" s="222">
        <v>53</v>
      </c>
      <c r="C13" s="528">
        <v>47</v>
      </c>
      <c r="D13" s="529">
        <v>41</v>
      </c>
      <c r="E13" s="529">
        <f>54+50</f>
        <v>104</v>
      </c>
      <c r="F13" s="529">
        <v>6</v>
      </c>
      <c r="G13" s="529">
        <f t="shared" si="1"/>
        <v>251</v>
      </c>
      <c r="H13" s="88"/>
      <c r="I13" s="88"/>
      <c r="J13" s="131">
        <f t="shared" si="2"/>
        <v>198</v>
      </c>
      <c r="K13" s="88"/>
      <c r="L13" s="88"/>
      <c r="M13" s="129" t="s">
        <v>6</v>
      </c>
      <c r="N13" s="49">
        <f>SUM(N10:N12)</f>
        <v>144</v>
      </c>
      <c r="O13" s="49">
        <f>SUM(O10:O12)</f>
        <v>2806</v>
      </c>
      <c r="P13" s="49">
        <f>SUM(P10:P12)</f>
        <v>0</v>
      </c>
      <c r="Q13" s="49">
        <f>SUM(Q10:Q12)</f>
        <v>18</v>
      </c>
      <c r="R13" s="49">
        <f>SUM(R10:R12)</f>
        <v>7</v>
      </c>
      <c r="S13" s="127">
        <f t="shared" si="3"/>
        <v>2975</v>
      </c>
      <c r="T13" s="88"/>
      <c r="U13" s="88"/>
      <c r="V13" s="306">
        <v>54</v>
      </c>
      <c r="W13" s="301">
        <v>105</v>
      </c>
      <c r="X13" s="301">
        <v>108</v>
      </c>
      <c r="Y13" s="301">
        <v>100</v>
      </c>
      <c r="Z13" s="301">
        <v>64</v>
      </c>
    </row>
    <row r="14" spans="1:26" ht="21" customHeight="1">
      <c r="A14" s="222" t="s">
        <v>58</v>
      </c>
      <c r="B14" s="222">
        <v>50</v>
      </c>
      <c r="C14" s="528">
        <v>42</v>
      </c>
      <c r="D14" s="529">
        <v>40</v>
      </c>
      <c r="E14" s="529">
        <v>54</v>
      </c>
      <c r="F14" s="529">
        <v>10</v>
      </c>
      <c r="G14" s="529">
        <f t="shared" si="1"/>
        <v>196</v>
      </c>
      <c r="H14" s="88"/>
      <c r="I14" s="88"/>
      <c r="J14" s="131">
        <f t="shared" si="2"/>
        <v>146</v>
      </c>
      <c r="K14" s="88"/>
      <c r="L14" s="88"/>
      <c r="M14" s="129" t="s">
        <v>21</v>
      </c>
      <c r="N14" s="49">
        <f>SUM(N9,N13)</f>
        <v>396</v>
      </c>
      <c r="O14" s="49">
        <f>SUM(O9,O13)</f>
        <v>6080</v>
      </c>
      <c r="P14" s="49">
        <f>SUM(P9,P13)</f>
        <v>2933</v>
      </c>
      <c r="Q14" s="49">
        <f>SUM(Q9,Q13)</f>
        <v>18</v>
      </c>
      <c r="R14" s="49">
        <f>SUM(R9,R13)</f>
        <v>37</v>
      </c>
      <c r="S14" s="49">
        <f t="shared" si="3"/>
        <v>9464</v>
      </c>
      <c r="T14" s="88"/>
      <c r="U14" s="88"/>
      <c r="V14" s="306">
        <v>45</v>
      </c>
      <c r="W14" s="301">
        <v>58</v>
      </c>
      <c r="X14" s="301">
        <v>110</v>
      </c>
      <c r="Y14" s="301"/>
      <c r="Z14" s="301"/>
    </row>
    <row r="15" spans="1:26" ht="21" customHeight="1">
      <c r="A15" s="222" t="s">
        <v>59</v>
      </c>
      <c r="B15" s="222">
        <v>48</v>
      </c>
      <c r="C15" s="528">
        <v>38</v>
      </c>
      <c r="D15" s="529">
        <v>43</v>
      </c>
      <c r="E15" s="529">
        <v>92</v>
      </c>
      <c r="F15" s="529"/>
      <c r="G15" s="529">
        <f t="shared" si="1"/>
        <v>221</v>
      </c>
      <c r="H15" s="88"/>
      <c r="I15" s="88"/>
      <c r="J15" s="131">
        <f t="shared" si="2"/>
        <v>173</v>
      </c>
      <c r="K15" s="88"/>
      <c r="L15" s="88"/>
      <c r="M15" s="136"/>
      <c r="N15" s="799">
        <f>N14+O14+P14</f>
        <v>9409</v>
      </c>
      <c r="O15" s="800"/>
      <c r="P15" s="801"/>
      <c r="Q15" s="88"/>
      <c r="R15" s="88"/>
      <c r="S15" s="88"/>
      <c r="T15" s="88">
        <f>N14+O14+P14</f>
        <v>9409</v>
      </c>
      <c r="U15" s="88"/>
      <c r="V15" s="306">
        <v>48</v>
      </c>
      <c r="W15" s="301">
        <v>99</v>
      </c>
      <c r="X15" s="301"/>
      <c r="Y15" s="301"/>
      <c r="Z15" s="301"/>
    </row>
    <row r="16" spans="1:26" ht="21" customHeight="1">
      <c r="A16" s="222" t="s">
        <v>60</v>
      </c>
      <c r="B16" s="222"/>
      <c r="C16" s="528">
        <v>26</v>
      </c>
      <c r="D16" s="529"/>
      <c r="E16" s="529">
        <v>47</v>
      </c>
      <c r="F16" s="529"/>
      <c r="G16" s="529">
        <f t="shared" si="1"/>
        <v>73</v>
      </c>
      <c r="H16" s="88"/>
      <c r="I16" s="88"/>
      <c r="J16" s="131">
        <f t="shared" si="2"/>
        <v>73</v>
      </c>
      <c r="K16" s="88"/>
      <c r="L16" s="88"/>
      <c r="M16" s="794" t="s">
        <v>61</v>
      </c>
      <c r="N16" s="794"/>
      <c r="O16" s="794"/>
      <c r="P16" s="794"/>
      <c r="Q16" s="794"/>
      <c r="R16" s="794"/>
      <c r="S16" s="794"/>
      <c r="T16" s="88"/>
      <c r="U16" s="88"/>
      <c r="V16" s="306"/>
      <c r="W16" s="301">
        <v>50</v>
      </c>
      <c r="X16" s="301"/>
      <c r="Y16" s="301"/>
      <c r="Z16" s="301"/>
    </row>
    <row r="17" spans="1:27" ht="21" customHeight="1">
      <c r="A17" s="222" t="s">
        <v>62</v>
      </c>
      <c r="B17" s="222"/>
      <c r="C17" s="528">
        <v>39</v>
      </c>
      <c r="D17" s="529"/>
      <c r="E17" s="529">
        <v>46</v>
      </c>
      <c r="F17" s="529"/>
      <c r="G17" s="529">
        <f t="shared" si="1"/>
        <v>85</v>
      </c>
      <c r="H17" s="88"/>
      <c r="I17" s="88"/>
      <c r="J17" s="131">
        <f t="shared" si="2"/>
        <v>85</v>
      </c>
      <c r="K17" s="88"/>
      <c r="L17" s="88"/>
      <c r="M17" s="805" t="s">
        <v>38</v>
      </c>
      <c r="N17" s="798" t="s">
        <v>39</v>
      </c>
      <c r="O17" s="798"/>
      <c r="P17" s="798"/>
      <c r="Q17" s="798"/>
      <c r="R17" s="798"/>
      <c r="S17" s="807" t="s">
        <v>6</v>
      </c>
      <c r="T17" s="88"/>
      <c r="U17" s="88"/>
      <c r="V17" s="306"/>
      <c r="W17" s="301">
        <v>47</v>
      </c>
      <c r="X17" s="301"/>
      <c r="Y17" s="301"/>
      <c r="Z17" s="301"/>
    </row>
    <row r="18" spans="1:27" ht="21" customHeight="1">
      <c r="A18" s="222" t="s">
        <v>63</v>
      </c>
      <c r="B18" s="222">
        <v>46</v>
      </c>
      <c r="C18" s="528">
        <v>43</v>
      </c>
      <c r="D18" s="529">
        <v>31</v>
      </c>
      <c r="E18" s="529">
        <f>42+41</f>
        <v>83</v>
      </c>
      <c r="F18" s="529"/>
      <c r="G18" s="529">
        <f t="shared" si="1"/>
        <v>203</v>
      </c>
      <c r="H18" s="88"/>
      <c r="I18" s="88"/>
      <c r="J18" s="131">
        <f t="shared" si="2"/>
        <v>157</v>
      </c>
      <c r="K18" s="88"/>
      <c r="L18" s="88"/>
      <c r="M18" s="806"/>
      <c r="N18" s="113" t="s">
        <v>41</v>
      </c>
      <c r="O18" s="110" t="s">
        <v>42</v>
      </c>
      <c r="P18" s="110" t="s">
        <v>43</v>
      </c>
      <c r="Q18" s="110" t="s">
        <v>25</v>
      </c>
      <c r="R18" s="110" t="s">
        <v>44</v>
      </c>
      <c r="S18" s="808"/>
      <c r="T18" s="88"/>
      <c r="U18" s="88"/>
      <c r="V18" s="306">
        <v>39</v>
      </c>
      <c r="W18" s="301">
        <v>88</v>
      </c>
      <c r="X18" s="301"/>
      <c r="Y18" s="301"/>
      <c r="Z18" s="301"/>
    </row>
    <row r="19" spans="1:27" ht="21" customHeight="1">
      <c r="A19" s="536" t="s">
        <v>64</v>
      </c>
      <c r="B19" s="224"/>
      <c r="C19" s="538">
        <v>41</v>
      </c>
      <c r="D19" s="539">
        <v>32</v>
      </c>
      <c r="E19" s="539"/>
      <c r="F19" s="539"/>
      <c r="G19" s="539">
        <f t="shared" si="1"/>
        <v>73</v>
      </c>
      <c r="H19" s="88"/>
      <c r="I19" s="88"/>
      <c r="J19" s="131">
        <f t="shared" si="2"/>
        <v>73</v>
      </c>
      <c r="K19" s="88"/>
      <c r="L19" s="88"/>
      <c r="M19" s="126" t="s">
        <v>46</v>
      </c>
      <c r="N19" s="127"/>
      <c r="O19" s="127"/>
      <c r="P19" s="127">
        <f>B20</f>
        <v>574</v>
      </c>
      <c r="Q19" s="127"/>
      <c r="R19" s="127">
        <f>B29</f>
        <v>5</v>
      </c>
      <c r="S19" s="127">
        <f t="shared" ref="S19:S29" si="4">SUM(N19:R19)</f>
        <v>579</v>
      </c>
      <c r="T19" s="88"/>
      <c r="U19" s="88"/>
      <c r="V19" s="306">
        <v>34</v>
      </c>
      <c r="W19" s="301"/>
      <c r="X19" s="301"/>
      <c r="Y19" s="301"/>
      <c r="Z19" s="301"/>
    </row>
    <row r="20" spans="1:27" ht="21" customHeight="1">
      <c r="A20" s="60" t="s">
        <v>6</v>
      </c>
      <c r="B20" s="49">
        <f>SUM(B6:B19)</f>
        <v>574</v>
      </c>
      <c r="C20" s="49">
        <f t="shared" ref="C20:G20" si="5">SUM(C6:C19)</f>
        <v>624</v>
      </c>
      <c r="D20" s="49">
        <f t="shared" si="5"/>
        <v>522</v>
      </c>
      <c r="E20" s="49">
        <f t="shared" si="5"/>
        <v>1163</v>
      </c>
      <c r="F20" s="49">
        <f t="shared" si="5"/>
        <v>50</v>
      </c>
      <c r="G20" s="49">
        <f t="shared" si="5"/>
        <v>2933</v>
      </c>
      <c r="H20" s="135"/>
      <c r="I20" s="135"/>
      <c r="J20" s="135"/>
      <c r="K20" s="135">
        <f>615+836+1173+526+696</f>
        <v>3846</v>
      </c>
      <c r="L20" s="135">
        <f>1+6+17+43</f>
        <v>67</v>
      </c>
      <c r="M20" s="126" t="s">
        <v>48</v>
      </c>
      <c r="N20" s="127"/>
      <c r="O20" s="127">
        <f>B112</f>
        <v>557</v>
      </c>
      <c r="P20" s="127"/>
      <c r="Q20" s="127"/>
      <c r="R20" s="127"/>
      <c r="S20" s="127">
        <f t="shared" si="4"/>
        <v>557</v>
      </c>
      <c r="T20" s="135"/>
      <c r="U20" s="135"/>
      <c r="V20" s="568">
        <f>SUM(V6:V19)</f>
        <v>612</v>
      </c>
      <c r="W20" s="301">
        <f>SUM(W6:W19)</f>
        <v>1215</v>
      </c>
      <c r="X20" s="301">
        <f>SUM(X6:X19)</f>
        <v>859</v>
      </c>
      <c r="Y20" s="471">
        <f>SUM(Y6:Y19)</f>
        <v>633</v>
      </c>
      <c r="Z20" s="301">
        <f>SUM(Z6:Z19)</f>
        <v>390</v>
      </c>
      <c r="AA20" s="306"/>
    </row>
    <row r="21" spans="1:27" ht="21" hidden="1" customHeight="1">
      <c r="A21" s="65" t="s">
        <v>14</v>
      </c>
      <c r="B21" s="65"/>
      <c r="C21" s="541"/>
      <c r="D21" s="279"/>
      <c r="E21" s="279"/>
      <c r="F21" s="279"/>
      <c r="G21" s="279"/>
      <c r="H21" s="88"/>
      <c r="I21" s="88"/>
      <c r="J21" s="88"/>
      <c r="K21" s="88"/>
      <c r="L21" s="88"/>
      <c r="M21" s="126" t="s">
        <v>48</v>
      </c>
      <c r="N21" s="127"/>
      <c r="O21" s="127"/>
      <c r="P21" s="127"/>
      <c r="Q21" s="127"/>
      <c r="R21" s="127"/>
      <c r="S21" s="127">
        <f t="shared" si="4"/>
        <v>0</v>
      </c>
      <c r="T21" s="88"/>
      <c r="U21" s="88"/>
    </row>
    <row r="22" spans="1:27" ht="21" hidden="1" customHeight="1">
      <c r="A22" s="65" t="s">
        <v>65</v>
      </c>
      <c r="B22" s="65"/>
      <c r="C22" s="541"/>
      <c r="D22" s="279"/>
      <c r="E22" s="279"/>
      <c r="F22" s="279"/>
      <c r="G22" s="279"/>
      <c r="H22" s="88"/>
      <c r="I22" s="88"/>
      <c r="J22" s="88"/>
      <c r="K22" s="88"/>
      <c r="L22" s="88"/>
      <c r="M22" s="126" t="s">
        <v>46</v>
      </c>
      <c r="N22" s="127"/>
      <c r="O22" s="127"/>
      <c r="P22" s="127"/>
      <c r="Q22" s="127"/>
      <c r="R22" s="127"/>
      <c r="S22" s="127">
        <f t="shared" si="4"/>
        <v>0</v>
      </c>
      <c r="T22" s="88"/>
      <c r="U22" s="88"/>
    </row>
    <row r="23" spans="1:27" ht="21" hidden="1" customHeight="1">
      <c r="A23" s="60" t="s">
        <v>6</v>
      </c>
      <c r="B23" s="60"/>
      <c r="C23" s="542"/>
      <c r="D23" s="49">
        <f>SUM(D22)</f>
        <v>0</v>
      </c>
      <c r="E23" s="49">
        <f>SUM(E22)</f>
        <v>0</v>
      </c>
      <c r="F23" s="49">
        <f>SUM(F22)</f>
        <v>0</v>
      </c>
      <c r="G23" s="49">
        <f>SUM(G22)</f>
        <v>0</v>
      </c>
      <c r="H23" s="135"/>
      <c r="I23" s="135"/>
      <c r="J23" s="135"/>
      <c r="K23" s="135"/>
      <c r="L23" s="135"/>
      <c r="M23" s="126" t="s">
        <v>48</v>
      </c>
      <c r="N23" s="127"/>
      <c r="O23" s="127"/>
      <c r="P23" s="127"/>
      <c r="Q23" s="127"/>
      <c r="R23" s="127"/>
      <c r="S23" s="127">
        <f t="shared" si="4"/>
        <v>0</v>
      </c>
      <c r="T23" s="135"/>
      <c r="U23" s="135"/>
    </row>
    <row r="24" spans="1:27" ht="21" customHeight="1">
      <c r="A24" s="543" t="s">
        <v>16</v>
      </c>
      <c r="B24" s="543"/>
      <c r="C24" s="541"/>
      <c r="D24" s="279"/>
      <c r="E24" s="279"/>
      <c r="F24" s="279"/>
      <c r="G24" s="279"/>
      <c r="H24" s="88"/>
      <c r="I24" s="88"/>
      <c r="J24" s="88"/>
      <c r="K24" s="88"/>
      <c r="L24" s="88"/>
      <c r="M24" s="126" t="s">
        <v>50</v>
      </c>
      <c r="N24" s="127">
        <f>B131</f>
        <v>155</v>
      </c>
      <c r="O24" s="127">
        <f>B125</f>
        <v>665</v>
      </c>
      <c r="P24" s="127"/>
      <c r="Q24" s="127"/>
      <c r="R24" s="127"/>
      <c r="S24" s="127">
        <f t="shared" si="4"/>
        <v>820</v>
      </c>
      <c r="T24" s="88"/>
      <c r="U24" s="88"/>
    </row>
    <row r="25" spans="1:27" ht="21" customHeight="1">
      <c r="A25" s="65" t="s">
        <v>66</v>
      </c>
      <c r="B25" s="65"/>
      <c r="C25" s="541"/>
      <c r="D25" s="279"/>
      <c r="E25" s="708">
        <v>3</v>
      </c>
      <c r="F25" s="279"/>
      <c r="G25" s="275">
        <f>SUM(B25:F25)</f>
        <v>3</v>
      </c>
      <c r="H25" s="88"/>
      <c r="I25" s="88"/>
      <c r="J25" s="88"/>
      <c r="K25" s="88"/>
      <c r="L25" s="88"/>
      <c r="M25" s="49" t="s">
        <v>6</v>
      </c>
      <c r="N25" s="49">
        <f t="shared" ref="N25:R26" si="6">SUM(N19:N24)</f>
        <v>155</v>
      </c>
      <c r="O25" s="49">
        <f t="shared" si="6"/>
        <v>1222</v>
      </c>
      <c r="P25" s="49">
        <f t="shared" si="6"/>
        <v>574</v>
      </c>
      <c r="Q25" s="49">
        <f t="shared" si="6"/>
        <v>0</v>
      </c>
      <c r="R25" s="49">
        <f t="shared" si="6"/>
        <v>5</v>
      </c>
      <c r="S25" s="49">
        <f t="shared" si="4"/>
        <v>1956</v>
      </c>
      <c r="T25" s="88"/>
      <c r="U25" s="88"/>
      <c r="V25" s="306"/>
      <c r="W25" s="301">
        <v>6</v>
      </c>
      <c r="X25" s="301"/>
      <c r="Y25" s="301"/>
      <c r="Z25" s="301">
        <f>SUM(V25:Y25)</f>
        <v>6</v>
      </c>
      <c r="AA25" s="306"/>
    </row>
    <row r="26" spans="1:27" ht="21" customHeight="1">
      <c r="A26" s="65" t="s">
        <v>67</v>
      </c>
      <c r="B26" s="709">
        <v>5</v>
      </c>
      <c r="C26" s="541"/>
      <c r="D26" s="279"/>
      <c r="E26" s="279"/>
      <c r="F26" s="279"/>
      <c r="G26" s="275">
        <f>SUM(B26:F26)</f>
        <v>5</v>
      </c>
      <c r="H26" s="88"/>
      <c r="I26" s="88"/>
      <c r="J26" s="88"/>
      <c r="K26" s="88"/>
      <c r="L26" s="88"/>
      <c r="M26" s="49" t="s">
        <v>6</v>
      </c>
      <c r="N26" s="49">
        <f t="shared" si="6"/>
        <v>310</v>
      </c>
      <c r="O26" s="49">
        <f t="shared" si="6"/>
        <v>2444</v>
      </c>
      <c r="P26" s="49">
        <f t="shared" si="6"/>
        <v>574</v>
      </c>
      <c r="Q26" s="49">
        <f t="shared" si="6"/>
        <v>0</v>
      </c>
      <c r="R26" s="49">
        <f t="shared" si="6"/>
        <v>5</v>
      </c>
      <c r="S26" s="49">
        <f t="shared" ref="S26" si="7">SUM(N26:R26)</f>
        <v>3333</v>
      </c>
      <c r="T26" s="88"/>
      <c r="U26" s="88"/>
      <c r="V26" s="306"/>
      <c r="W26" s="301">
        <v>6</v>
      </c>
      <c r="X26" s="301"/>
      <c r="Y26" s="301"/>
      <c r="Z26" s="301">
        <f>SUM(V26:Y26)</f>
        <v>6</v>
      </c>
      <c r="AA26" s="306"/>
    </row>
    <row r="27" spans="1:27" ht="21" customHeight="1">
      <c r="A27" s="65" t="s">
        <v>68</v>
      </c>
      <c r="B27" s="65"/>
      <c r="C27" s="541"/>
      <c r="D27" s="708">
        <v>5</v>
      </c>
      <c r="E27" s="279"/>
      <c r="F27" s="708">
        <v>13</v>
      </c>
      <c r="G27" s="275">
        <f>SUM(B27:F27)</f>
        <v>18</v>
      </c>
      <c r="H27" s="88"/>
      <c r="I27" s="88"/>
      <c r="J27" s="88"/>
      <c r="K27" s="88"/>
      <c r="L27" s="88"/>
      <c r="M27" s="126" t="s">
        <v>53</v>
      </c>
      <c r="N27" s="127"/>
      <c r="O27" s="127">
        <f>B42</f>
        <v>492</v>
      </c>
      <c r="P27" s="127"/>
      <c r="Q27" s="127">
        <f>B47</f>
        <v>7</v>
      </c>
      <c r="R27" s="127">
        <f>B50</f>
        <v>4</v>
      </c>
      <c r="S27" s="127">
        <f t="shared" si="4"/>
        <v>503</v>
      </c>
      <c r="T27" s="88"/>
      <c r="U27" s="88"/>
      <c r="V27" s="306">
        <v>6</v>
      </c>
      <c r="W27" s="301"/>
      <c r="X27" s="301">
        <v>19</v>
      </c>
      <c r="Y27" s="301"/>
      <c r="Z27" s="301">
        <f>SUM(V27:Y27)</f>
        <v>25</v>
      </c>
      <c r="AA27" s="306"/>
    </row>
    <row r="28" spans="1:27" ht="21" customHeight="1">
      <c r="A28" s="65" t="s">
        <v>69</v>
      </c>
      <c r="B28" s="65"/>
      <c r="C28" s="541"/>
      <c r="D28" s="279"/>
      <c r="E28" s="279"/>
      <c r="F28" s="708">
        <v>4</v>
      </c>
      <c r="G28" s="279">
        <f>SUM(B28:F28)</f>
        <v>4</v>
      </c>
      <c r="H28" s="88"/>
      <c r="I28" s="88"/>
      <c r="J28" s="88"/>
      <c r="K28" s="88"/>
      <c r="L28" s="88"/>
      <c r="M28" s="126" t="s">
        <v>55</v>
      </c>
      <c r="N28" s="127"/>
      <c r="O28" s="127">
        <f>B79</f>
        <v>294</v>
      </c>
      <c r="P28" s="127"/>
      <c r="Q28" s="127"/>
      <c r="R28" s="127"/>
      <c r="S28" s="127">
        <f t="shared" si="4"/>
        <v>294</v>
      </c>
      <c r="T28" s="88"/>
      <c r="U28" s="88"/>
      <c r="V28" s="306"/>
      <c r="W28" s="301"/>
      <c r="X28" s="301">
        <v>9</v>
      </c>
      <c r="Y28" s="301"/>
      <c r="Z28" s="301">
        <f>SUM(V28:Y28)</f>
        <v>9</v>
      </c>
      <c r="AA28" s="306"/>
    </row>
    <row r="29" spans="1:27" ht="21" customHeight="1">
      <c r="A29" s="60" t="s">
        <v>6</v>
      </c>
      <c r="B29" s="49">
        <f t="shared" ref="B29:G29" si="8">SUM(B25:B28)</f>
        <v>5</v>
      </c>
      <c r="C29" s="49">
        <f t="shared" si="8"/>
        <v>0</v>
      </c>
      <c r="D29" s="49">
        <f t="shared" si="8"/>
        <v>5</v>
      </c>
      <c r="E29" s="49">
        <f t="shared" si="8"/>
        <v>3</v>
      </c>
      <c r="F29" s="49">
        <f t="shared" si="8"/>
        <v>17</v>
      </c>
      <c r="G29" s="49">
        <f t="shared" si="8"/>
        <v>30</v>
      </c>
      <c r="H29" s="135"/>
      <c r="I29" s="135"/>
      <c r="J29" s="135"/>
      <c r="K29" s="135"/>
      <c r="L29" s="135"/>
      <c r="M29" s="126" t="s">
        <v>57</v>
      </c>
      <c r="N29" s="127">
        <f>B74</f>
        <v>77</v>
      </c>
      <c r="O29" s="127">
        <f>B63</f>
        <v>245</v>
      </c>
      <c r="P29" s="127"/>
      <c r="Q29" s="127"/>
      <c r="R29" s="127"/>
      <c r="S29" s="127">
        <f t="shared" si="4"/>
        <v>322</v>
      </c>
      <c r="T29" s="135"/>
      <c r="U29" s="135"/>
      <c r="V29" s="306">
        <f>SUM(V25:V28)</f>
        <v>6</v>
      </c>
      <c r="W29" s="301">
        <f>SUM(W25:W28)</f>
        <v>12</v>
      </c>
      <c r="X29" s="301">
        <f>SUM(X25:X28)</f>
        <v>28</v>
      </c>
      <c r="Z29" s="306">
        <f>SUM(V29:Y29)</f>
        <v>46</v>
      </c>
      <c r="AA29" s="306"/>
    </row>
    <row r="30" spans="1:27" ht="21" customHeight="1">
      <c r="A30" s="61" t="s">
        <v>70</v>
      </c>
      <c r="B30" s="49">
        <f>SUM(B42,B50,B47)</f>
        <v>503</v>
      </c>
      <c r="C30" s="49">
        <f t="shared" ref="C30:G30" si="9">SUM(C42,C50,C47)</f>
        <v>379</v>
      </c>
      <c r="D30" s="49">
        <f t="shared" si="9"/>
        <v>311</v>
      </c>
      <c r="E30" s="49">
        <f t="shared" si="9"/>
        <v>115</v>
      </c>
      <c r="F30" s="49">
        <f t="shared" si="9"/>
        <v>22</v>
      </c>
      <c r="G30" s="49">
        <f t="shared" si="9"/>
        <v>1330</v>
      </c>
      <c r="H30" s="135">
        <f>1708-20</f>
        <v>1688</v>
      </c>
      <c r="I30" s="135"/>
      <c r="J30" s="135"/>
      <c r="K30" s="135"/>
      <c r="L30" s="135"/>
      <c r="M30" s="129" t="s">
        <v>6</v>
      </c>
      <c r="N30" s="49">
        <f t="shared" ref="N30:S30" si="10">SUM(N27:N29)</f>
        <v>77</v>
      </c>
      <c r="O30" s="49">
        <f t="shared" si="10"/>
        <v>1031</v>
      </c>
      <c r="P30" s="49">
        <f t="shared" si="10"/>
        <v>0</v>
      </c>
      <c r="Q30" s="49">
        <f t="shared" si="10"/>
        <v>7</v>
      </c>
      <c r="R30" s="49">
        <f t="shared" si="10"/>
        <v>4</v>
      </c>
      <c r="S30" s="49">
        <f t="shared" si="10"/>
        <v>1119</v>
      </c>
      <c r="T30" s="135"/>
      <c r="U30" s="135"/>
      <c r="X30" s="301">
        <f>G30</f>
        <v>1330</v>
      </c>
      <c r="Y30" s="301">
        <f>G51</f>
        <v>870</v>
      </c>
      <c r="Z30" s="301">
        <f>G79</f>
        <v>775</v>
      </c>
      <c r="AA30" s="301"/>
    </row>
    <row r="31" spans="1:27" ht="21" customHeight="1">
      <c r="A31" s="223" t="s">
        <v>71</v>
      </c>
      <c r="B31" s="223">
        <f>47+41</f>
        <v>88</v>
      </c>
      <c r="C31" s="548">
        <f>35+31</f>
        <v>66</v>
      </c>
      <c r="D31" s="549">
        <f>33+28</f>
        <v>61</v>
      </c>
      <c r="E31" s="549">
        <v>59</v>
      </c>
      <c r="F31" s="549">
        <v>11</v>
      </c>
      <c r="G31" s="549">
        <f t="shared" ref="G31:G41" si="11">SUM(B31:F31)</f>
        <v>285</v>
      </c>
      <c r="H31" s="131"/>
      <c r="I31" s="131">
        <v>1</v>
      </c>
      <c r="J31" s="131">
        <f t="shared" ref="J31:J41" si="12">SUM(C31:F31)</f>
        <v>197</v>
      </c>
      <c r="K31" s="131"/>
      <c r="L31" s="131"/>
      <c r="M31" s="129" t="s">
        <v>21</v>
      </c>
      <c r="N31" s="49">
        <f t="shared" ref="N31:S31" si="13">SUM(N25,N30)</f>
        <v>232</v>
      </c>
      <c r="O31" s="49">
        <f t="shared" si="13"/>
        <v>2253</v>
      </c>
      <c r="P31" s="49">
        <f t="shared" si="13"/>
        <v>574</v>
      </c>
      <c r="Q31" s="49">
        <f t="shared" si="13"/>
        <v>7</v>
      </c>
      <c r="R31" s="49">
        <f t="shared" si="13"/>
        <v>9</v>
      </c>
      <c r="S31" s="49">
        <f t="shared" si="13"/>
        <v>3075</v>
      </c>
      <c r="T31" s="131"/>
      <c r="U31" s="131"/>
      <c r="V31" s="306">
        <v>93</v>
      </c>
      <c r="W31" s="301">
        <v>69</v>
      </c>
      <c r="X31" s="301">
        <v>72</v>
      </c>
      <c r="Y31" s="301">
        <v>70</v>
      </c>
      <c r="Z31" s="301">
        <v>51</v>
      </c>
    </row>
    <row r="32" spans="1:27" ht="21" customHeight="1">
      <c r="A32" s="226" t="s">
        <v>72</v>
      </c>
      <c r="B32" s="226">
        <f>48+42</f>
        <v>90</v>
      </c>
      <c r="C32" s="550">
        <v>78</v>
      </c>
      <c r="D32" s="551">
        <v>56</v>
      </c>
      <c r="E32" s="551">
        <v>20</v>
      </c>
      <c r="F32" s="551">
        <v>3</v>
      </c>
      <c r="G32" s="551">
        <f t="shared" si="11"/>
        <v>247</v>
      </c>
      <c r="H32" s="131"/>
      <c r="I32" s="131">
        <v>2</v>
      </c>
      <c r="J32" s="131">
        <f t="shared" si="12"/>
        <v>157</v>
      </c>
      <c r="K32" s="131"/>
      <c r="L32" s="131"/>
      <c r="M32" s="136"/>
      <c r="N32" s="88"/>
      <c r="O32" s="88"/>
      <c r="P32" s="88"/>
      <c r="Q32" s="88"/>
      <c r="R32" s="88"/>
      <c r="S32" s="88"/>
      <c r="T32" s="131"/>
      <c r="U32" s="131"/>
      <c r="V32" s="306">
        <v>88</v>
      </c>
      <c r="W32" s="301">
        <v>69</v>
      </c>
      <c r="X32" s="301">
        <v>61</v>
      </c>
      <c r="Y32" s="301">
        <v>37</v>
      </c>
      <c r="Z32" s="301">
        <v>24</v>
      </c>
    </row>
    <row r="33" spans="1:28" ht="21" customHeight="1">
      <c r="A33" s="226" t="s">
        <v>73</v>
      </c>
      <c r="B33" s="226"/>
      <c r="C33" s="710"/>
      <c r="D33" s="551"/>
      <c r="E33" s="551">
        <v>3</v>
      </c>
      <c r="F33" s="551">
        <v>1</v>
      </c>
      <c r="G33" s="551">
        <f t="shared" si="11"/>
        <v>4</v>
      </c>
      <c r="H33" s="131"/>
      <c r="I33" s="131">
        <v>3</v>
      </c>
      <c r="J33" s="131">
        <f t="shared" si="12"/>
        <v>4</v>
      </c>
      <c r="K33" s="131"/>
      <c r="L33" s="131"/>
      <c r="M33" s="122" t="s">
        <v>74</v>
      </c>
      <c r="N33" s="88"/>
      <c r="O33" s="88"/>
      <c r="P33" s="88"/>
      <c r="Q33" s="88"/>
      <c r="R33" s="88"/>
      <c r="S33" s="88"/>
      <c r="T33" s="131"/>
      <c r="U33" s="131"/>
      <c r="V33" s="306"/>
      <c r="W33" s="301">
        <v>42</v>
      </c>
      <c r="X33" s="301">
        <v>61</v>
      </c>
      <c r="Y33" s="301">
        <v>31</v>
      </c>
      <c r="Z33" s="301">
        <v>6</v>
      </c>
    </row>
    <row r="34" spans="1:28" ht="21" customHeight="1">
      <c r="A34" s="226" t="s">
        <v>54</v>
      </c>
      <c r="B34" s="226">
        <v>35</v>
      </c>
      <c r="C34" s="550">
        <v>35</v>
      </c>
      <c r="D34" s="551">
        <v>33</v>
      </c>
      <c r="E34" s="551"/>
      <c r="F34" s="551"/>
      <c r="G34" s="551">
        <f t="shared" si="11"/>
        <v>103</v>
      </c>
      <c r="H34" s="131"/>
      <c r="I34" s="131">
        <v>4</v>
      </c>
      <c r="J34" s="131">
        <f t="shared" si="12"/>
        <v>68</v>
      </c>
      <c r="K34" s="131"/>
      <c r="L34" s="131"/>
      <c r="M34" s="130"/>
      <c r="N34" s="131"/>
      <c r="O34" s="131"/>
      <c r="P34" s="131"/>
      <c r="Q34" s="131"/>
      <c r="R34" s="131"/>
      <c r="S34" s="131"/>
      <c r="T34" s="131"/>
      <c r="U34" s="131"/>
      <c r="V34" s="306">
        <v>36</v>
      </c>
      <c r="W34" s="301"/>
      <c r="X34" s="301"/>
      <c r="Y34" s="301"/>
      <c r="Z34" s="301">
        <v>1</v>
      </c>
    </row>
    <row r="35" spans="1:28" ht="21" customHeight="1">
      <c r="A35" s="226" t="s">
        <v>60</v>
      </c>
      <c r="B35" s="226">
        <f>26+31</f>
        <v>57</v>
      </c>
      <c r="C35" s="550">
        <v>21</v>
      </c>
      <c r="D35" s="551">
        <v>15</v>
      </c>
      <c r="E35" s="551">
        <v>20</v>
      </c>
      <c r="F35" s="551">
        <v>3</v>
      </c>
      <c r="G35" s="551">
        <f t="shared" si="11"/>
        <v>116</v>
      </c>
      <c r="H35" s="131"/>
      <c r="I35" s="131">
        <v>5</v>
      </c>
      <c r="J35" s="131">
        <f t="shared" si="12"/>
        <v>59</v>
      </c>
      <c r="K35" s="131"/>
      <c r="L35" s="131"/>
      <c r="M35" s="130"/>
      <c r="N35" s="131"/>
      <c r="O35" s="131"/>
      <c r="P35" s="131"/>
      <c r="Q35" s="131"/>
      <c r="R35" s="131"/>
      <c r="S35" s="131"/>
      <c r="T35" s="131"/>
      <c r="U35" s="131"/>
      <c r="V35" s="306">
        <v>27</v>
      </c>
      <c r="W35" s="301">
        <v>23</v>
      </c>
      <c r="X35" s="301">
        <v>45</v>
      </c>
      <c r="Y35" s="301">
        <v>38</v>
      </c>
      <c r="Z35" s="301">
        <v>10</v>
      </c>
    </row>
    <row r="36" spans="1:28" ht="21" customHeight="1">
      <c r="A36" s="226" t="s">
        <v>62</v>
      </c>
      <c r="B36" s="226">
        <v>40</v>
      </c>
      <c r="C36" s="550">
        <v>27</v>
      </c>
      <c r="D36" s="551">
        <v>26</v>
      </c>
      <c r="E36" s="551">
        <v>5</v>
      </c>
      <c r="F36" s="551">
        <v>1</v>
      </c>
      <c r="G36" s="551">
        <f t="shared" si="11"/>
        <v>99</v>
      </c>
      <c r="H36" s="131"/>
      <c r="I36" s="131">
        <v>6</v>
      </c>
      <c r="J36" s="131">
        <f t="shared" si="12"/>
        <v>59</v>
      </c>
      <c r="K36" s="131"/>
      <c r="L36" s="131"/>
      <c r="M36" s="130"/>
      <c r="N36" s="131"/>
      <c r="O36" s="131"/>
      <c r="P36" s="131"/>
      <c r="Q36" s="131"/>
      <c r="R36" s="131"/>
      <c r="S36" s="131"/>
      <c r="T36" s="131"/>
      <c r="U36" s="131"/>
      <c r="V36" s="306">
        <v>43</v>
      </c>
      <c r="W36" s="301">
        <v>27</v>
      </c>
      <c r="X36" s="301">
        <v>37</v>
      </c>
      <c r="Y36" s="301">
        <v>36</v>
      </c>
      <c r="Z36" s="301"/>
    </row>
    <row r="37" spans="1:28" ht="21" hidden="1" customHeight="1">
      <c r="A37" s="71" t="s">
        <v>75</v>
      </c>
      <c r="B37" s="71"/>
      <c r="C37" s="553"/>
      <c r="D37" s="434"/>
      <c r="E37" s="434"/>
      <c r="F37" s="434"/>
      <c r="G37" s="434">
        <f t="shared" si="11"/>
        <v>0</v>
      </c>
      <c r="H37" s="131"/>
      <c r="I37" s="131"/>
      <c r="J37" s="131">
        <f t="shared" si="12"/>
        <v>0</v>
      </c>
      <c r="K37" s="131"/>
      <c r="L37" s="131"/>
      <c r="M37" s="130"/>
      <c r="N37" s="131"/>
      <c r="O37" s="131"/>
      <c r="P37" s="131"/>
      <c r="Q37" s="131"/>
      <c r="R37" s="131"/>
      <c r="S37" s="131"/>
      <c r="T37" s="131"/>
      <c r="U37" s="131"/>
      <c r="V37" s="306"/>
      <c r="W37" s="301"/>
      <c r="X37" s="301"/>
      <c r="Y37" s="301"/>
      <c r="Z37" s="301"/>
    </row>
    <row r="38" spans="1:28" ht="21" customHeight="1">
      <c r="A38" s="226" t="s">
        <v>76</v>
      </c>
      <c r="B38" s="226">
        <v>45</v>
      </c>
      <c r="C38" s="550">
        <v>41</v>
      </c>
      <c r="D38" s="551">
        <v>29</v>
      </c>
      <c r="E38" s="551">
        <v>4</v>
      </c>
      <c r="F38" s="551">
        <v>1</v>
      </c>
      <c r="G38" s="551">
        <f t="shared" si="11"/>
        <v>120</v>
      </c>
      <c r="H38" s="131"/>
      <c r="I38" s="131">
        <v>7</v>
      </c>
      <c r="J38" s="131">
        <f t="shared" si="12"/>
        <v>75</v>
      </c>
      <c r="K38" s="131"/>
      <c r="L38" s="131"/>
      <c r="M38" s="130"/>
      <c r="N38" s="131"/>
      <c r="O38" s="131"/>
      <c r="P38" s="131"/>
      <c r="Q38" s="131"/>
      <c r="R38" s="131"/>
      <c r="S38" s="131"/>
      <c r="T38" s="131"/>
      <c r="U38" s="131"/>
      <c r="V38" s="306">
        <v>53</v>
      </c>
      <c r="W38" s="301">
        <v>37</v>
      </c>
      <c r="X38" s="301">
        <v>100</v>
      </c>
      <c r="Y38" s="301">
        <v>46</v>
      </c>
      <c r="Z38" s="301">
        <v>12</v>
      </c>
    </row>
    <row r="39" spans="1:28" ht="21" customHeight="1">
      <c r="A39" s="223" t="s">
        <v>77</v>
      </c>
      <c r="B39" s="223"/>
      <c r="C39" s="548"/>
      <c r="D39" s="549"/>
      <c r="E39" s="549">
        <v>1</v>
      </c>
      <c r="F39" s="549">
        <v>2</v>
      </c>
      <c r="G39" s="551">
        <f t="shared" si="11"/>
        <v>3</v>
      </c>
      <c r="H39" s="131"/>
      <c r="I39" s="131">
        <v>8</v>
      </c>
      <c r="J39" s="131">
        <f t="shared" si="12"/>
        <v>3</v>
      </c>
      <c r="K39" s="131"/>
      <c r="L39" s="131"/>
      <c r="M39" s="130"/>
      <c r="N39" s="131"/>
      <c r="O39" s="131"/>
      <c r="P39" s="131"/>
      <c r="Q39" s="131"/>
      <c r="R39" s="131"/>
      <c r="S39" s="131"/>
      <c r="T39" s="131"/>
      <c r="U39" s="131"/>
      <c r="V39" s="306"/>
      <c r="W39" s="301">
        <v>74</v>
      </c>
      <c r="X39" s="301">
        <v>92</v>
      </c>
      <c r="Y39" s="301">
        <v>59</v>
      </c>
      <c r="Z39" s="301">
        <v>4</v>
      </c>
    </row>
    <row r="40" spans="1:28" ht="21" customHeight="1">
      <c r="A40" s="223" t="s">
        <v>78</v>
      </c>
      <c r="B40" s="223">
        <v>84</v>
      </c>
      <c r="C40" s="548">
        <v>80</v>
      </c>
      <c r="D40" s="549">
        <v>56</v>
      </c>
      <c r="E40" s="549"/>
      <c r="F40" s="549"/>
      <c r="G40" s="551">
        <f t="shared" si="11"/>
        <v>220</v>
      </c>
      <c r="H40" s="131"/>
      <c r="I40" s="131">
        <v>9</v>
      </c>
      <c r="J40" s="131">
        <f t="shared" si="12"/>
        <v>136</v>
      </c>
      <c r="K40" s="131"/>
      <c r="L40" s="131"/>
      <c r="M40" s="130"/>
      <c r="N40" s="131"/>
      <c r="O40" s="131"/>
      <c r="P40" s="131"/>
      <c r="Q40" s="131"/>
      <c r="R40" s="131"/>
      <c r="S40" s="131"/>
      <c r="T40" s="131"/>
      <c r="U40" s="131"/>
      <c r="V40" s="306">
        <v>80</v>
      </c>
      <c r="W40" s="301"/>
      <c r="X40" s="301"/>
      <c r="Y40" s="301"/>
      <c r="Z40" s="301"/>
    </row>
    <row r="41" spans="1:28" ht="21" customHeight="1">
      <c r="A41" s="223" t="s">
        <v>79</v>
      </c>
      <c r="B41" s="223">
        <v>53</v>
      </c>
      <c r="C41" s="548">
        <v>31</v>
      </c>
      <c r="D41" s="549">
        <v>27</v>
      </c>
      <c r="E41" s="549"/>
      <c r="F41" s="549"/>
      <c r="G41" s="549">
        <f t="shared" si="11"/>
        <v>111</v>
      </c>
      <c r="H41" s="131"/>
      <c r="I41" s="131">
        <v>10</v>
      </c>
      <c r="J41" s="131">
        <f t="shared" si="12"/>
        <v>58</v>
      </c>
      <c r="K41" s="131"/>
      <c r="L41" s="131"/>
      <c r="M41" s="130"/>
      <c r="N41" s="131"/>
      <c r="O41" s="131"/>
      <c r="P41" s="131"/>
      <c r="Q41" s="131"/>
      <c r="R41" s="131"/>
      <c r="S41" s="131"/>
      <c r="T41" s="131"/>
      <c r="U41" s="131"/>
      <c r="V41" s="306">
        <v>32</v>
      </c>
      <c r="W41" s="301"/>
      <c r="X41" s="301"/>
      <c r="Y41" s="301"/>
      <c r="Z41" s="301">
        <v>2</v>
      </c>
    </row>
    <row r="42" spans="1:28" ht="21" customHeight="1">
      <c r="A42" s="60" t="s">
        <v>6</v>
      </c>
      <c r="B42" s="49">
        <f t="shared" ref="B42:G42" si="14">SUM(B31:B41)</f>
        <v>492</v>
      </c>
      <c r="C42" s="49">
        <f t="shared" si="14"/>
        <v>379</v>
      </c>
      <c r="D42" s="49">
        <f t="shared" si="14"/>
        <v>303</v>
      </c>
      <c r="E42" s="49">
        <f t="shared" si="14"/>
        <v>112</v>
      </c>
      <c r="F42" s="49">
        <f t="shared" si="14"/>
        <v>22</v>
      </c>
      <c r="G42" s="49">
        <f t="shared" si="14"/>
        <v>1308</v>
      </c>
      <c r="H42" s="135"/>
      <c r="I42" s="135"/>
      <c r="J42" s="135"/>
      <c r="K42" s="135"/>
      <c r="L42" s="135">
        <f>1+6+17+43</f>
        <v>67</v>
      </c>
      <c r="M42" s="134"/>
      <c r="N42" s="135"/>
      <c r="O42" s="135"/>
      <c r="P42" s="135"/>
      <c r="Q42" s="135"/>
      <c r="R42" s="135"/>
      <c r="S42" s="135"/>
      <c r="T42" s="135"/>
      <c r="U42" s="135"/>
      <c r="V42" s="306">
        <f>SUM(V31:V41)</f>
        <v>452</v>
      </c>
      <c r="W42" s="301">
        <f>SUM(W31:W41)</f>
        <v>341</v>
      </c>
      <c r="X42" s="301">
        <f>SUM(X31:X41)</f>
        <v>468</v>
      </c>
      <c r="Y42" s="301">
        <f>SUM(Y31:Y41)</f>
        <v>317</v>
      </c>
      <c r="Z42" s="301">
        <f>SUM(Z31:Z41)</f>
        <v>110</v>
      </c>
      <c r="AA42" s="301"/>
      <c r="AB42" s="301"/>
    </row>
    <row r="43" spans="1:28" ht="21" customHeight="1">
      <c r="A43" s="543" t="s">
        <v>14</v>
      </c>
      <c r="B43" s="543"/>
      <c r="C43" s="541"/>
      <c r="D43" s="279"/>
      <c r="E43" s="279"/>
      <c r="F43" s="279"/>
      <c r="G43" s="279"/>
      <c r="H43" s="88"/>
      <c r="I43" s="88"/>
      <c r="J43" s="88"/>
      <c r="K43" s="88"/>
      <c r="L43" s="88"/>
      <c r="M43" s="136"/>
      <c r="N43" s="88"/>
      <c r="O43" s="88"/>
      <c r="P43" s="88"/>
      <c r="Q43" s="88"/>
      <c r="R43" s="88"/>
      <c r="S43" s="88"/>
      <c r="T43" s="88"/>
      <c r="U43" s="88"/>
    </row>
    <row r="44" spans="1:28" ht="21" customHeight="1">
      <c r="A44" s="65" t="s">
        <v>80</v>
      </c>
      <c r="B44" s="65"/>
      <c r="C44" s="541"/>
      <c r="D44" s="279"/>
      <c r="E44" s="279"/>
      <c r="F44" s="279"/>
      <c r="G44" s="279">
        <f>SUM(B44:F44)</f>
        <v>0</v>
      </c>
      <c r="H44" s="88"/>
      <c r="I44" s="88"/>
      <c r="J44" s="88"/>
      <c r="K44" s="88"/>
      <c r="L44" s="88"/>
      <c r="M44" s="136"/>
      <c r="N44" s="88"/>
      <c r="O44" s="88"/>
      <c r="P44" s="88"/>
      <c r="Q44" s="88"/>
      <c r="R44" s="88"/>
      <c r="S44" s="88"/>
      <c r="T44" s="88"/>
      <c r="U44" s="88"/>
      <c r="V44" s="306"/>
      <c r="W44" s="301"/>
      <c r="X44" s="301"/>
      <c r="Y44" s="301">
        <v>3</v>
      </c>
      <c r="Z44" s="301"/>
    </row>
    <row r="45" spans="1:28" ht="21" customHeight="1">
      <c r="A45" s="65" t="s">
        <v>62</v>
      </c>
      <c r="B45" s="709">
        <v>6</v>
      </c>
      <c r="C45" s="541"/>
      <c r="D45" s="708">
        <v>6</v>
      </c>
      <c r="E45" s="279"/>
      <c r="F45" s="279"/>
      <c r="G45" s="279">
        <f>SUM(B45:F45)</f>
        <v>12</v>
      </c>
      <c r="H45" s="562" t="s">
        <v>81</v>
      </c>
      <c r="I45" s="446"/>
      <c r="J45" s="446"/>
      <c r="K45" s="446"/>
      <c r="L45" s="446"/>
      <c r="M45" s="137"/>
      <c r="N45" s="138"/>
      <c r="O45" s="138"/>
      <c r="P45" s="138"/>
      <c r="Q45" s="138"/>
      <c r="R45" s="138"/>
      <c r="S45" s="138"/>
      <c r="T45" s="446"/>
      <c r="U45" s="446"/>
      <c r="V45" s="306">
        <v>6</v>
      </c>
      <c r="W45" s="301"/>
      <c r="X45" s="301">
        <v>3</v>
      </c>
      <c r="Y45" s="301"/>
      <c r="Z45" s="301"/>
    </row>
    <row r="46" spans="1:28" ht="21" customHeight="1">
      <c r="A46" s="65" t="s">
        <v>82</v>
      </c>
      <c r="B46" s="709">
        <v>1</v>
      </c>
      <c r="C46" s="541"/>
      <c r="D46" s="708">
        <v>2</v>
      </c>
      <c r="E46" s="279"/>
      <c r="F46" s="279"/>
      <c r="G46" s="279">
        <f>SUM(B46:F46)</f>
        <v>3</v>
      </c>
      <c r="H46" s="562" t="s">
        <v>81</v>
      </c>
      <c r="I46" s="446"/>
      <c r="J46" s="446"/>
      <c r="K46" s="446"/>
      <c r="L46" s="446"/>
      <c r="M46" s="137"/>
      <c r="N46" s="138"/>
      <c r="O46" s="138"/>
      <c r="P46" s="138"/>
      <c r="Q46" s="138"/>
      <c r="R46" s="138"/>
      <c r="S46" s="138"/>
      <c r="T46" s="446"/>
      <c r="U46" s="446"/>
      <c r="V46" s="306">
        <v>2</v>
      </c>
      <c r="W46" s="301"/>
      <c r="X46" s="301">
        <v>3</v>
      </c>
      <c r="Y46" s="301"/>
      <c r="Z46" s="301"/>
    </row>
    <row r="47" spans="1:28" ht="21" customHeight="1">
      <c r="A47" s="60" t="s">
        <v>6</v>
      </c>
      <c r="B47" s="49">
        <f t="shared" ref="B47:G47" si="15">SUM(B44:B46)</f>
        <v>7</v>
      </c>
      <c r="C47" s="49">
        <f t="shared" si="15"/>
        <v>0</v>
      </c>
      <c r="D47" s="49">
        <f t="shared" si="15"/>
        <v>8</v>
      </c>
      <c r="E47" s="49">
        <f t="shared" si="15"/>
        <v>0</v>
      </c>
      <c r="F47" s="49">
        <f t="shared" si="15"/>
        <v>0</v>
      </c>
      <c r="G47" s="49">
        <f t="shared" si="15"/>
        <v>15</v>
      </c>
      <c r="H47" s="135"/>
      <c r="I47" s="135"/>
      <c r="J47" s="135"/>
      <c r="K47" s="135"/>
      <c r="L47" s="135"/>
      <c r="M47" s="134"/>
      <c r="N47" s="439">
        <v>21</v>
      </c>
      <c r="O47" s="439">
        <v>33</v>
      </c>
      <c r="P47" s="439">
        <f>4+2+1</f>
        <v>7</v>
      </c>
      <c r="Q47" s="135">
        <f>SUM(N47:P47)</f>
        <v>61</v>
      </c>
      <c r="R47" s="135"/>
      <c r="S47" s="135"/>
      <c r="T47" s="135"/>
      <c r="U47" s="135"/>
      <c r="V47" s="306">
        <f>SUM(V44:V46)</f>
        <v>8</v>
      </c>
      <c r="X47" s="301">
        <f>SUM(X44:X46)</f>
        <v>6</v>
      </c>
      <c r="Y47" s="301">
        <f>SUM(Y44:Y46)</f>
        <v>3</v>
      </c>
      <c r="AA47" s="306"/>
    </row>
    <row r="48" spans="1:28" ht="21" customHeight="1">
      <c r="A48" s="543" t="s">
        <v>16</v>
      </c>
      <c r="B48" s="543"/>
      <c r="C48" s="541"/>
      <c r="D48" s="279"/>
      <c r="E48" s="279"/>
      <c r="F48" s="279"/>
      <c r="G48" s="279"/>
      <c r="H48" s="88"/>
      <c r="I48" s="88"/>
      <c r="J48" s="88"/>
      <c r="K48" s="88"/>
      <c r="L48" s="88"/>
      <c r="M48" s="136"/>
      <c r="N48" s="439">
        <v>19</v>
      </c>
      <c r="O48" s="439">
        <v>20</v>
      </c>
      <c r="P48" s="439">
        <f>4+3+1</f>
        <v>8</v>
      </c>
      <c r="Q48" s="135">
        <f t="shared" ref="Q48:Q52" si="16">SUM(N48:P48)</f>
        <v>47</v>
      </c>
      <c r="R48" s="88"/>
      <c r="S48" s="88"/>
      <c r="T48" s="88"/>
      <c r="U48" s="88"/>
    </row>
    <row r="49" spans="1:27" ht="21" customHeight="1">
      <c r="A49" s="65" t="s">
        <v>62</v>
      </c>
      <c r="B49" s="709">
        <v>4</v>
      </c>
      <c r="C49" s="541"/>
      <c r="D49" s="279"/>
      <c r="E49" s="708">
        <v>3</v>
      </c>
      <c r="F49" s="279"/>
      <c r="G49" s="279">
        <f>SUM(B49:F49)</f>
        <v>7</v>
      </c>
      <c r="H49" s="88"/>
      <c r="I49" s="88"/>
      <c r="J49" s="88"/>
      <c r="K49" s="88"/>
      <c r="L49" s="88"/>
      <c r="M49" s="136"/>
      <c r="N49" s="439">
        <f>20+27</f>
        <v>47</v>
      </c>
      <c r="O49" s="439">
        <f>26+27+1</f>
        <v>54</v>
      </c>
      <c r="P49" s="439">
        <f>5+5+5</f>
        <v>15</v>
      </c>
      <c r="Q49" s="135">
        <f t="shared" si="16"/>
        <v>116</v>
      </c>
      <c r="R49" s="88"/>
      <c r="S49" s="88"/>
      <c r="T49" s="88"/>
      <c r="U49" s="88"/>
    </row>
    <row r="50" spans="1:27" ht="21" customHeight="1">
      <c r="A50" s="60" t="s">
        <v>6</v>
      </c>
      <c r="B50" s="49">
        <f t="shared" ref="B50:G50" si="17">SUM(B49:B49)</f>
        <v>4</v>
      </c>
      <c r="C50" s="49">
        <f t="shared" si="17"/>
        <v>0</v>
      </c>
      <c r="D50" s="49">
        <f t="shared" si="17"/>
        <v>0</v>
      </c>
      <c r="E50" s="49">
        <f t="shared" si="17"/>
        <v>3</v>
      </c>
      <c r="F50" s="49">
        <f t="shared" si="17"/>
        <v>0</v>
      </c>
      <c r="G50" s="49">
        <f t="shared" si="17"/>
        <v>7</v>
      </c>
      <c r="H50" s="135"/>
      <c r="I50" s="135"/>
      <c r="J50" s="135"/>
      <c r="K50" s="135"/>
      <c r="L50" s="135"/>
      <c r="M50" s="134"/>
      <c r="N50" s="439">
        <v>12</v>
      </c>
      <c r="O50" s="439">
        <v>11</v>
      </c>
      <c r="P50" s="439">
        <v>5</v>
      </c>
      <c r="Q50" s="135">
        <f t="shared" si="16"/>
        <v>28</v>
      </c>
      <c r="R50" s="135"/>
      <c r="S50" s="135"/>
      <c r="T50" s="135"/>
      <c r="U50" s="135"/>
    </row>
    <row r="51" spans="1:27" ht="21" customHeight="1">
      <c r="A51" s="266" t="s">
        <v>83</v>
      </c>
      <c r="B51" s="488">
        <f>SUM(B63,B74,B78)</f>
        <v>322</v>
      </c>
      <c r="C51" s="488">
        <f t="shared" ref="C51:G51" si="18">SUM(C63,C74,C78)</f>
        <v>260</v>
      </c>
      <c r="D51" s="488">
        <f t="shared" si="18"/>
        <v>209</v>
      </c>
      <c r="E51" s="488">
        <f t="shared" si="18"/>
        <v>66</v>
      </c>
      <c r="F51" s="488">
        <f t="shared" si="18"/>
        <v>13</v>
      </c>
      <c r="G51" s="488">
        <f t="shared" si="18"/>
        <v>870</v>
      </c>
      <c r="H51" s="140"/>
      <c r="I51" s="140"/>
      <c r="J51" s="140"/>
      <c r="K51" s="140"/>
      <c r="L51" s="140"/>
      <c r="M51" s="139"/>
      <c r="N51" s="439">
        <f>19+7</f>
        <v>26</v>
      </c>
      <c r="O51" s="439">
        <v>14</v>
      </c>
      <c r="P51" s="439">
        <f>2+2</f>
        <v>4</v>
      </c>
      <c r="Q51" s="135">
        <f t="shared" si="16"/>
        <v>44</v>
      </c>
      <c r="R51" s="140"/>
      <c r="S51" s="140"/>
      <c r="T51" s="140"/>
      <c r="U51" s="140"/>
      <c r="X51" s="301">
        <f>G51</f>
        <v>870</v>
      </c>
      <c r="AA51" s="47">
        <f>1294+870</f>
        <v>2164</v>
      </c>
    </row>
    <row r="52" spans="1:27" s="46" customFormat="1" ht="21" customHeight="1">
      <c r="A52" s="223" t="s">
        <v>84</v>
      </c>
      <c r="B52" s="223"/>
      <c r="C52" s="548"/>
      <c r="D52" s="549"/>
      <c r="E52" s="549">
        <v>21</v>
      </c>
      <c r="F52" s="549"/>
      <c r="G52" s="549">
        <f t="shared" ref="G52:G62" si="19">SUM(B52:F52)</f>
        <v>21</v>
      </c>
      <c r="H52" s="133"/>
      <c r="I52" s="133"/>
      <c r="J52" s="133">
        <f t="shared" ref="J52:J62" si="20">SUM(C52:F52)</f>
        <v>21</v>
      </c>
      <c r="K52" s="133"/>
      <c r="L52" s="133"/>
      <c r="M52" s="132"/>
      <c r="N52" s="579">
        <v>16</v>
      </c>
      <c r="O52" s="579">
        <v>35</v>
      </c>
      <c r="P52" s="579">
        <f>23+8</f>
        <v>31</v>
      </c>
      <c r="Q52" s="121">
        <f t="shared" si="16"/>
        <v>82</v>
      </c>
      <c r="R52" s="133"/>
      <c r="S52" s="133"/>
      <c r="T52" s="133"/>
      <c r="U52" s="133"/>
      <c r="V52" s="470">
        <v>39</v>
      </c>
      <c r="W52" s="310">
        <v>26</v>
      </c>
      <c r="X52" s="310">
        <v>35</v>
      </c>
      <c r="Y52" s="310">
        <v>15</v>
      </c>
      <c r="Z52" s="310">
        <v>4</v>
      </c>
    </row>
    <row r="53" spans="1:27" s="46" customFormat="1" ht="21" customHeight="1">
      <c r="A53" s="67" t="s">
        <v>85</v>
      </c>
      <c r="B53" s="711">
        <v>28</v>
      </c>
      <c r="C53" s="712">
        <v>16</v>
      </c>
      <c r="D53" s="713">
        <v>26</v>
      </c>
      <c r="E53" s="549">
        <v>12</v>
      </c>
      <c r="F53" s="549">
        <v>1</v>
      </c>
      <c r="G53" s="439">
        <f t="shared" si="19"/>
        <v>83</v>
      </c>
      <c r="H53" s="133"/>
      <c r="I53" s="133"/>
      <c r="J53" s="133">
        <f t="shared" si="20"/>
        <v>55</v>
      </c>
      <c r="K53" s="133"/>
      <c r="L53" s="133"/>
      <c r="M53" s="714" t="s">
        <v>86</v>
      </c>
      <c r="N53" s="133"/>
      <c r="O53" s="133"/>
      <c r="P53" s="133"/>
      <c r="Q53" s="133">
        <f>SUM(Q47:Q52)</f>
        <v>378</v>
      </c>
      <c r="R53" s="133"/>
      <c r="S53" s="133"/>
      <c r="T53" s="133"/>
      <c r="U53" s="133"/>
      <c r="V53" s="470">
        <v>45</v>
      </c>
      <c r="W53" s="310">
        <v>21</v>
      </c>
      <c r="X53" s="310">
        <v>22</v>
      </c>
      <c r="Y53" s="310">
        <v>18</v>
      </c>
      <c r="Z53" s="310">
        <v>7</v>
      </c>
    </row>
    <row r="54" spans="1:27" s="46" customFormat="1" ht="21" customHeight="1">
      <c r="A54" s="67" t="s">
        <v>87</v>
      </c>
      <c r="B54" s="711">
        <v>80</v>
      </c>
      <c r="C54" s="712">
        <f>31+30</f>
        <v>61</v>
      </c>
      <c r="D54" s="713">
        <v>42</v>
      </c>
      <c r="E54" s="549">
        <v>7</v>
      </c>
      <c r="F54" s="549">
        <v>6</v>
      </c>
      <c r="G54" s="439">
        <f t="shared" si="19"/>
        <v>196</v>
      </c>
      <c r="H54" s="133"/>
      <c r="I54" s="133"/>
      <c r="J54" s="133">
        <f t="shared" si="20"/>
        <v>116</v>
      </c>
      <c r="K54" s="133"/>
      <c r="L54" s="133"/>
      <c r="M54" s="132"/>
      <c r="N54" s="133"/>
      <c r="O54" s="133"/>
      <c r="P54" s="133"/>
      <c r="Q54" s="133"/>
      <c r="R54" s="133"/>
      <c r="S54" s="133"/>
      <c r="T54" s="133"/>
      <c r="U54" s="133"/>
      <c r="V54" s="470">
        <v>85</v>
      </c>
      <c r="W54" s="310">
        <v>52</v>
      </c>
      <c r="X54" s="310">
        <v>51</v>
      </c>
      <c r="Y54" s="310">
        <v>53</v>
      </c>
      <c r="Z54" s="310">
        <v>15</v>
      </c>
    </row>
    <row r="55" spans="1:27" s="46" customFormat="1" ht="21" customHeight="1">
      <c r="A55" s="223" t="s">
        <v>88</v>
      </c>
      <c r="B55" s="223"/>
      <c r="C55" s="548"/>
      <c r="D55" s="549"/>
      <c r="E55" s="549">
        <v>3</v>
      </c>
      <c r="F55" s="549">
        <f>2</f>
        <v>2</v>
      </c>
      <c r="G55" s="549">
        <f t="shared" ref="G55" si="21">SUM(B55:F55)</f>
        <v>5</v>
      </c>
      <c r="H55" s="133"/>
      <c r="I55" s="133"/>
      <c r="J55" s="133">
        <f t="shared" ref="J55" si="22">SUM(C55:F55)</f>
        <v>5</v>
      </c>
      <c r="K55" s="133"/>
      <c r="L55" s="133"/>
      <c r="M55" s="132"/>
      <c r="N55" s="133"/>
      <c r="O55" s="133"/>
      <c r="P55" s="133"/>
      <c r="Q55" s="133"/>
      <c r="R55" s="133"/>
      <c r="S55" s="133"/>
      <c r="T55" s="133"/>
      <c r="U55" s="133"/>
      <c r="V55" s="470">
        <v>36</v>
      </c>
      <c r="W55" s="310"/>
      <c r="X55" s="310"/>
      <c r="Y55" s="310"/>
      <c r="Z55" s="310"/>
    </row>
    <row r="56" spans="1:27" s="46" customFormat="1" ht="21" customHeight="1">
      <c r="A56" s="223" t="s">
        <v>89</v>
      </c>
      <c r="B56" s="223"/>
      <c r="C56" s="712">
        <v>13</v>
      </c>
      <c r="D56" s="713">
        <v>25</v>
      </c>
      <c r="E56" s="549"/>
      <c r="F56" s="549"/>
      <c r="G56" s="549">
        <f t="shared" si="19"/>
        <v>38</v>
      </c>
      <c r="H56" s="133"/>
      <c r="I56" s="133"/>
      <c r="J56" s="133">
        <f t="shared" si="20"/>
        <v>38</v>
      </c>
      <c r="K56" s="133"/>
      <c r="L56" s="133"/>
      <c r="M56" s="132"/>
      <c r="N56" s="133"/>
      <c r="O56" s="133"/>
      <c r="P56" s="133"/>
      <c r="Q56" s="133"/>
      <c r="R56" s="133"/>
      <c r="S56" s="133"/>
      <c r="T56" s="133"/>
      <c r="U56" s="133"/>
      <c r="V56" s="470">
        <v>36</v>
      </c>
      <c r="W56" s="310"/>
      <c r="X56" s="310"/>
      <c r="Y56" s="310"/>
      <c r="Z56" s="310"/>
    </row>
    <row r="57" spans="1:27" s="46" customFormat="1" ht="21" customHeight="1">
      <c r="A57" s="67" t="s">
        <v>90</v>
      </c>
      <c r="B57" s="67"/>
      <c r="C57" s="548">
        <v>17</v>
      </c>
      <c r="D57" s="549">
        <v>27</v>
      </c>
      <c r="E57" s="439"/>
      <c r="F57" s="439"/>
      <c r="G57" s="439">
        <f t="shared" si="19"/>
        <v>44</v>
      </c>
      <c r="H57" s="133"/>
      <c r="I57" s="133"/>
      <c r="J57" s="133">
        <f t="shared" si="20"/>
        <v>44</v>
      </c>
      <c r="K57" s="133"/>
      <c r="L57" s="133"/>
      <c r="M57" s="132"/>
      <c r="N57" s="133"/>
      <c r="O57" s="133"/>
      <c r="P57" s="133"/>
      <c r="Q57" s="133"/>
      <c r="R57" s="133"/>
      <c r="S57" s="133"/>
      <c r="T57" s="133"/>
      <c r="U57" s="133"/>
      <c r="V57" s="470">
        <v>46</v>
      </c>
      <c r="W57" s="310"/>
      <c r="X57" s="310"/>
      <c r="Y57" s="310"/>
      <c r="Z57" s="310"/>
    </row>
    <row r="58" spans="1:27" s="46" customFormat="1" ht="21" customHeight="1">
      <c r="A58" s="67" t="s">
        <v>91</v>
      </c>
      <c r="B58" s="711">
        <v>46</v>
      </c>
      <c r="C58" s="712">
        <v>32</v>
      </c>
      <c r="D58" s="713">
        <v>21</v>
      </c>
      <c r="E58" s="549"/>
      <c r="F58" s="439"/>
      <c r="G58" s="439">
        <f t="shared" si="19"/>
        <v>99</v>
      </c>
      <c r="H58" s="133"/>
      <c r="I58" s="133"/>
      <c r="J58" s="133">
        <f t="shared" si="20"/>
        <v>53</v>
      </c>
      <c r="K58" s="133"/>
      <c r="L58" s="133"/>
      <c r="M58" s="132"/>
      <c r="N58" s="133"/>
      <c r="O58" s="133"/>
      <c r="P58" s="133"/>
      <c r="Q58" s="133"/>
      <c r="R58" s="133"/>
      <c r="S58" s="133"/>
      <c r="T58" s="133"/>
      <c r="U58" s="133"/>
      <c r="V58" s="470">
        <v>44</v>
      </c>
      <c r="W58" s="310"/>
      <c r="X58" s="310"/>
      <c r="Y58" s="310"/>
      <c r="Z58" s="310"/>
    </row>
    <row r="59" spans="1:27" s="46" customFormat="1" ht="21" customHeight="1">
      <c r="A59" s="67" t="s">
        <v>92</v>
      </c>
      <c r="B59" s="711">
        <v>52</v>
      </c>
      <c r="C59" s="712">
        <v>29</v>
      </c>
      <c r="D59" s="713">
        <v>27</v>
      </c>
      <c r="E59" s="439"/>
      <c r="F59" s="439"/>
      <c r="G59" s="439">
        <f t="shared" si="19"/>
        <v>108</v>
      </c>
      <c r="H59" s="133"/>
      <c r="I59" s="133"/>
      <c r="J59" s="133">
        <f t="shared" si="20"/>
        <v>56</v>
      </c>
      <c r="K59" s="133"/>
      <c r="L59" s="133"/>
      <c r="M59" s="132"/>
      <c r="N59" s="133">
        <f>G59+G60</f>
        <v>164</v>
      </c>
      <c r="O59" s="133"/>
      <c r="P59" s="133"/>
      <c r="Q59" s="133"/>
      <c r="R59" s="133"/>
      <c r="S59" s="133"/>
      <c r="T59" s="133"/>
      <c r="U59" s="133"/>
      <c r="V59" s="470"/>
      <c r="W59" s="310">
        <v>13</v>
      </c>
      <c r="X59" s="310">
        <v>12</v>
      </c>
      <c r="Y59" s="310">
        <v>8</v>
      </c>
      <c r="Z59" s="310"/>
    </row>
    <row r="60" spans="1:27" s="46" customFormat="1" ht="21" customHeight="1">
      <c r="A60" s="67" t="s">
        <v>93</v>
      </c>
      <c r="B60" s="711">
        <v>17</v>
      </c>
      <c r="C60" s="712">
        <v>17</v>
      </c>
      <c r="D60" s="713">
        <v>22</v>
      </c>
      <c r="E60" s="439"/>
      <c r="F60" s="439"/>
      <c r="G60" s="439">
        <f t="shared" si="19"/>
        <v>56</v>
      </c>
      <c r="H60" s="133"/>
      <c r="I60" s="133"/>
      <c r="J60" s="133">
        <f t="shared" si="20"/>
        <v>39</v>
      </c>
      <c r="K60" s="133"/>
      <c r="L60" s="133"/>
      <c r="M60" s="132"/>
      <c r="N60" s="133"/>
      <c r="O60" s="133"/>
      <c r="P60" s="133"/>
      <c r="Q60" s="133"/>
      <c r="R60" s="133"/>
      <c r="S60" s="133"/>
      <c r="T60" s="133"/>
      <c r="U60" s="133"/>
      <c r="V60" s="470"/>
      <c r="W60" s="310">
        <v>13</v>
      </c>
      <c r="X60" s="310">
        <v>12</v>
      </c>
      <c r="Y60" s="310">
        <v>8</v>
      </c>
      <c r="Z60" s="310"/>
    </row>
    <row r="61" spans="1:27" ht="21" customHeight="1">
      <c r="A61" s="67" t="s">
        <v>94</v>
      </c>
      <c r="B61" s="711">
        <v>22</v>
      </c>
      <c r="C61" s="712">
        <v>9</v>
      </c>
      <c r="D61" s="713">
        <v>18</v>
      </c>
      <c r="E61" s="549">
        <v>6</v>
      </c>
      <c r="F61" s="439"/>
      <c r="G61" s="439">
        <f t="shared" si="19"/>
        <v>55</v>
      </c>
      <c r="H61" s="131"/>
      <c r="I61" s="131"/>
      <c r="J61" s="131">
        <f t="shared" si="20"/>
        <v>33</v>
      </c>
      <c r="K61" s="131"/>
      <c r="L61" s="131"/>
      <c r="M61" s="130"/>
      <c r="N61" s="131"/>
      <c r="O61" s="131"/>
      <c r="P61" s="131"/>
      <c r="Q61" s="131"/>
      <c r="R61" s="131"/>
      <c r="S61" s="131"/>
      <c r="T61" s="131"/>
      <c r="U61" s="131"/>
      <c r="V61" s="306">
        <v>32</v>
      </c>
      <c r="W61" s="301">
        <v>21</v>
      </c>
      <c r="X61" s="301">
        <v>17</v>
      </c>
      <c r="Y61" s="301">
        <v>22</v>
      </c>
      <c r="Z61" s="301">
        <v>4</v>
      </c>
    </row>
    <row r="62" spans="1:27" s="46" customFormat="1" ht="21" customHeight="1">
      <c r="A62" s="574" t="s">
        <v>95</v>
      </c>
      <c r="B62" s="574"/>
      <c r="C62" s="578"/>
      <c r="D62" s="579"/>
      <c r="E62" s="579">
        <v>14</v>
      </c>
      <c r="F62" s="579">
        <v>4</v>
      </c>
      <c r="G62" s="579">
        <f t="shared" si="19"/>
        <v>18</v>
      </c>
      <c r="H62" s="133"/>
      <c r="I62" s="133"/>
      <c r="J62" s="133">
        <f t="shared" si="20"/>
        <v>18</v>
      </c>
      <c r="K62" s="133"/>
      <c r="L62" s="133"/>
      <c r="M62" s="132"/>
      <c r="N62" s="133"/>
      <c r="O62" s="133"/>
      <c r="P62" s="133"/>
      <c r="Q62" s="133"/>
      <c r="R62" s="133"/>
      <c r="S62" s="133"/>
      <c r="T62" s="133"/>
      <c r="U62" s="133"/>
      <c r="V62" s="470">
        <v>48</v>
      </c>
      <c r="W62" s="310">
        <v>26</v>
      </c>
      <c r="X62" s="310">
        <v>36</v>
      </c>
      <c r="Y62" s="310">
        <v>37</v>
      </c>
      <c r="Z62" s="310">
        <v>21</v>
      </c>
    </row>
    <row r="63" spans="1:27" ht="21" customHeight="1">
      <c r="A63" s="556" t="s">
        <v>96</v>
      </c>
      <c r="B63" s="488">
        <f t="shared" ref="B63:G63" si="23">SUM(B52:B62)</f>
        <v>245</v>
      </c>
      <c r="C63" s="488">
        <f t="shared" si="23"/>
        <v>194</v>
      </c>
      <c r="D63" s="488">
        <f t="shared" si="23"/>
        <v>208</v>
      </c>
      <c r="E63" s="488">
        <f t="shared" si="23"/>
        <v>63</v>
      </c>
      <c r="F63" s="488">
        <f t="shared" si="23"/>
        <v>13</v>
      </c>
      <c r="G63" s="488">
        <f t="shared" si="23"/>
        <v>723</v>
      </c>
      <c r="H63" s="140"/>
      <c r="I63" s="140"/>
      <c r="J63" s="140"/>
      <c r="K63" s="140"/>
      <c r="L63" s="140"/>
      <c r="M63" s="139"/>
      <c r="N63" s="140">
        <f>27+13+11+2</f>
        <v>53</v>
      </c>
      <c r="O63" s="140"/>
      <c r="P63" s="140"/>
      <c r="Q63" s="140"/>
      <c r="R63" s="140"/>
      <c r="S63" s="140"/>
      <c r="T63" s="140"/>
      <c r="U63" s="140"/>
      <c r="V63" s="306">
        <f>SUM(V52:V62)</f>
        <v>411</v>
      </c>
      <c r="W63" s="301">
        <f>SUM(W52:W62)</f>
        <v>172</v>
      </c>
      <c r="X63" s="301">
        <f>SUM(X52:X62)</f>
        <v>185</v>
      </c>
      <c r="Y63" s="301">
        <f>SUM(Y52:Y62)</f>
        <v>161</v>
      </c>
      <c r="Z63" s="301">
        <f>SUM(Z52:Z62)</f>
        <v>51</v>
      </c>
      <c r="AA63" s="306"/>
    </row>
    <row r="64" spans="1:27" ht="21" customHeight="1">
      <c r="A64" s="67" t="s">
        <v>97</v>
      </c>
      <c r="B64" s="67"/>
      <c r="C64" s="439"/>
      <c r="D64" s="439"/>
      <c r="E64" s="439"/>
      <c r="F64" s="439"/>
      <c r="G64" s="439">
        <f t="shared" ref="G64:G73" si="24">SUM(B64:F64)</f>
        <v>0</v>
      </c>
      <c r="H64" s="131"/>
      <c r="I64" s="131"/>
      <c r="J64" s="131">
        <f t="shared" ref="J64:J73" si="25">SUM(C64:F64)</f>
        <v>0</v>
      </c>
      <c r="K64" s="131"/>
      <c r="L64" s="131"/>
      <c r="M64" s="130"/>
      <c r="N64" s="131"/>
      <c r="O64" s="131"/>
      <c r="P64" s="131"/>
      <c r="Q64" s="131"/>
      <c r="R64" s="131"/>
      <c r="S64" s="131"/>
      <c r="T64" s="131"/>
      <c r="U64" s="131"/>
      <c r="V64" s="306">
        <v>33</v>
      </c>
      <c r="W64" s="301">
        <v>26</v>
      </c>
      <c r="X64" s="301">
        <v>4</v>
      </c>
      <c r="Y64" s="301"/>
      <c r="Z64" s="301">
        <v>1</v>
      </c>
    </row>
    <row r="65" spans="1:26" ht="21" customHeight="1">
      <c r="A65" s="71" t="s">
        <v>98</v>
      </c>
      <c r="B65" s="71"/>
      <c r="C65" s="553"/>
      <c r="D65" s="434"/>
      <c r="E65" s="434"/>
      <c r="F65" s="434"/>
      <c r="G65" s="434">
        <f t="shared" si="24"/>
        <v>0</v>
      </c>
      <c r="H65" s="131"/>
      <c r="I65" s="131"/>
      <c r="J65" s="131">
        <f t="shared" si="25"/>
        <v>0</v>
      </c>
      <c r="K65" s="131"/>
      <c r="L65" s="131"/>
      <c r="M65" s="130"/>
      <c r="N65" s="131"/>
      <c r="O65" s="131"/>
      <c r="P65" s="131"/>
      <c r="Q65" s="131"/>
      <c r="R65" s="131"/>
      <c r="S65" s="131"/>
      <c r="T65" s="131"/>
      <c r="U65" s="131"/>
      <c r="V65" s="306"/>
      <c r="W65" s="301"/>
      <c r="X65" s="301"/>
      <c r="Y65" s="301"/>
      <c r="Z65" s="301"/>
    </row>
    <row r="66" spans="1:26" s="46" customFormat="1" ht="21" customHeight="1">
      <c r="A66" s="71" t="s">
        <v>99</v>
      </c>
      <c r="B66" s="226">
        <v>11</v>
      </c>
      <c r="C66" s="550">
        <v>2</v>
      </c>
      <c r="D66" s="434"/>
      <c r="E66" s="434"/>
      <c r="F66" s="434"/>
      <c r="G66" s="434">
        <f t="shared" si="24"/>
        <v>13</v>
      </c>
      <c r="H66" s="133"/>
      <c r="I66" s="133"/>
      <c r="J66" s="133">
        <f t="shared" si="25"/>
        <v>2</v>
      </c>
      <c r="K66" s="133"/>
      <c r="L66" s="133"/>
      <c r="M66" s="132"/>
      <c r="N66" s="133"/>
      <c r="O66" s="133"/>
      <c r="P66" s="133"/>
      <c r="Q66" s="133"/>
      <c r="R66" s="133"/>
      <c r="S66" s="133"/>
      <c r="T66" s="133"/>
      <c r="U66" s="133"/>
      <c r="V66" s="470"/>
      <c r="W66" s="310"/>
      <c r="X66" s="310"/>
      <c r="Y66" s="310"/>
      <c r="Z66" s="310"/>
    </row>
    <row r="67" spans="1:26" s="46" customFormat="1" ht="21" customHeight="1">
      <c r="A67" s="67" t="s">
        <v>100</v>
      </c>
      <c r="B67" s="223">
        <v>21</v>
      </c>
      <c r="C67" s="548">
        <v>8</v>
      </c>
      <c r="D67" s="439"/>
      <c r="E67" s="439"/>
      <c r="F67" s="439"/>
      <c r="G67" s="434">
        <f t="shared" si="24"/>
        <v>29</v>
      </c>
      <c r="H67" s="133"/>
      <c r="I67" s="133"/>
      <c r="J67" s="133">
        <f t="shared" si="25"/>
        <v>8</v>
      </c>
      <c r="K67" s="133"/>
      <c r="L67" s="133"/>
      <c r="M67" s="132"/>
      <c r="N67" s="133"/>
      <c r="O67" s="133"/>
      <c r="P67" s="133"/>
      <c r="Q67" s="133"/>
      <c r="R67" s="133"/>
      <c r="S67" s="133"/>
      <c r="T67" s="133"/>
      <c r="U67" s="133"/>
      <c r="V67" s="470"/>
      <c r="W67" s="310">
        <v>13</v>
      </c>
      <c r="X67" s="310">
        <v>12</v>
      </c>
      <c r="Y67" s="310">
        <v>8</v>
      </c>
      <c r="Z67" s="310"/>
    </row>
    <row r="68" spans="1:26" s="46" customFormat="1" ht="21" customHeight="1">
      <c r="A68" s="67" t="s">
        <v>101</v>
      </c>
      <c r="B68" s="223">
        <v>14</v>
      </c>
      <c r="C68" s="548">
        <v>28</v>
      </c>
      <c r="D68" s="439"/>
      <c r="E68" s="439"/>
      <c r="F68" s="439"/>
      <c r="G68" s="434">
        <f t="shared" si="24"/>
        <v>42</v>
      </c>
      <c r="H68" s="133"/>
      <c r="I68" s="133"/>
      <c r="J68" s="133">
        <f t="shared" si="25"/>
        <v>28</v>
      </c>
      <c r="K68" s="133"/>
      <c r="L68" s="133"/>
      <c r="M68" s="132"/>
      <c r="N68" s="133"/>
      <c r="O68" s="133"/>
      <c r="P68" s="133"/>
      <c r="Q68" s="133"/>
      <c r="R68" s="133"/>
      <c r="S68" s="133"/>
      <c r="T68" s="133"/>
      <c r="U68" s="133"/>
      <c r="V68" s="470"/>
      <c r="W68" s="310">
        <v>13</v>
      </c>
      <c r="X68" s="310">
        <v>12</v>
      </c>
      <c r="Y68" s="310">
        <v>8</v>
      </c>
      <c r="Z68" s="310"/>
    </row>
    <row r="69" spans="1:26" s="46" customFormat="1" ht="21" customHeight="1">
      <c r="A69" s="67" t="s">
        <v>91</v>
      </c>
      <c r="B69" s="223">
        <v>20</v>
      </c>
      <c r="C69" s="548">
        <v>26</v>
      </c>
      <c r="D69" s="439"/>
      <c r="E69" s="439"/>
      <c r="F69" s="439"/>
      <c r="G69" s="434">
        <f t="shared" si="24"/>
        <v>46</v>
      </c>
      <c r="H69" s="133"/>
      <c r="I69" s="133"/>
      <c r="J69" s="133">
        <f t="shared" si="25"/>
        <v>26</v>
      </c>
      <c r="K69" s="133"/>
      <c r="L69" s="133"/>
      <c r="M69" s="132"/>
      <c r="N69" s="133"/>
      <c r="O69" s="133"/>
      <c r="P69" s="133"/>
      <c r="Q69" s="133"/>
      <c r="R69" s="133"/>
      <c r="S69" s="133"/>
      <c r="T69" s="133"/>
      <c r="U69" s="133"/>
      <c r="V69" s="470">
        <v>25</v>
      </c>
      <c r="W69" s="310"/>
      <c r="X69" s="310"/>
      <c r="Y69" s="310"/>
      <c r="Z69" s="310"/>
    </row>
    <row r="70" spans="1:26" ht="21" customHeight="1">
      <c r="A70" s="71" t="s">
        <v>102</v>
      </c>
      <c r="B70" s="71"/>
      <c r="C70" s="553"/>
      <c r="D70" s="434"/>
      <c r="E70" s="434"/>
      <c r="F70" s="434"/>
      <c r="G70" s="434">
        <f t="shared" si="24"/>
        <v>0</v>
      </c>
      <c r="H70" s="131"/>
      <c r="I70" s="131"/>
      <c r="J70" s="131">
        <f t="shared" si="25"/>
        <v>0</v>
      </c>
      <c r="K70" s="131"/>
      <c r="L70" s="131"/>
      <c r="M70" s="130"/>
      <c r="N70" s="131"/>
      <c r="O70" s="131"/>
      <c r="P70" s="131"/>
      <c r="Q70" s="131"/>
      <c r="R70" s="131"/>
      <c r="S70" s="131"/>
      <c r="T70" s="131"/>
      <c r="U70" s="131"/>
      <c r="V70" s="306"/>
      <c r="W70" s="301">
        <v>18</v>
      </c>
      <c r="X70" s="301">
        <v>11</v>
      </c>
      <c r="Y70" s="301"/>
      <c r="Z70" s="301"/>
    </row>
    <row r="71" spans="1:26" ht="21" customHeight="1">
      <c r="A71" s="71" t="s">
        <v>103</v>
      </c>
      <c r="B71" s="71"/>
      <c r="C71" s="553"/>
      <c r="D71" s="434"/>
      <c r="E71" s="434"/>
      <c r="F71" s="434"/>
      <c r="G71" s="434">
        <f t="shared" si="24"/>
        <v>0</v>
      </c>
      <c r="H71" s="131"/>
      <c r="I71" s="131"/>
      <c r="J71" s="131">
        <f t="shared" si="25"/>
        <v>0</v>
      </c>
      <c r="K71" s="131"/>
      <c r="L71" s="131"/>
      <c r="M71" s="130"/>
      <c r="N71" s="131"/>
      <c r="O71" s="131"/>
      <c r="P71" s="131"/>
      <c r="Q71" s="131"/>
      <c r="R71" s="131"/>
      <c r="S71" s="131"/>
      <c r="T71" s="131"/>
      <c r="U71" s="131"/>
      <c r="V71" s="306">
        <v>40</v>
      </c>
      <c r="W71" s="301">
        <v>39</v>
      </c>
      <c r="X71" s="301">
        <v>42</v>
      </c>
      <c r="Y71" s="301">
        <v>1</v>
      </c>
      <c r="Z71" s="301"/>
    </row>
    <row r="72" spans="1:26" s="46" customFormat="1" ht="21" customHeight="1">
      <c r="A72" s="71" t="s">
        <v>104</v>
      </c>
      <c r="B72" s="226">
        <v>11</v>
      </c>
      <c r="C72" s="550">
        <v>2</v>
      </c>
      <c r="D72" s="551">
        <v>1</v>
      </c>
      <c r="E72" s="434"/>
      <c r="F72" s="434"/>
      <c r="G72" s="434">
        <f t="shared" si="24"/>
        <v>14</v>
      </c>
      <c r="H72" s="133"/>
      <c r="I72" s="133"/>
      <c r="J72" s="133">
        <f t="shared" si="25"/>
        <v>3</v>
      </c>
      <c r="K72" s="133"/>
      <c r="L72" s="133"/>
      <c r="M72" s="132"/>
      <c r="N72" s="133"/>
      <c r="O72" s="133"/>
      <c r="P72" s="133"/>
      <c r="Q72" s="133"/>
      <c r="R72" s="133"/>
      <c r="S72" s="133"/>
      <c r="T72" s="133"/>
      <c r="U72" s="133"/>
      <c r="V72" s="470">
        <v>21</v>
      </c>
      <c r="W72" s="310">
        <v>33</v>
      </c>
      <c r="X72" s="310">
        <v>16</v>
      </c>
      <c r="Y72" s="310">
        <v>2</v>
      </c>
      <c r="Z72" s="310"/>
    </row>
    <row r="73" spans="1:26" ht="21" customHeight="1">
      <c r="A73" s="69" t="s">
        <v>105</v>
      </c>
      <c r="B73" s="69"/>
      <c r="C73" s="569"/>
      <c r="D73" s="497"/>
      <c r="E73" s="497"/>
      <c r="F73" s="497"/>
      <c r="G73" s="497">
        <f t="shared" si="24"/>
        <v>0</v>
      </c>
      <c r="H73" s="131"/>
      <c r="I73" s="131"/>
      <c r="J73" s="131">
        <f t="shared" si="25"/>
        <v>0</v>
      </c>
      <c r="K73" s="131"/>
      <c r="L73" s="131"/>
      <c r="M73" s="130"/>
      <c r="N73" s="131"/>
      <c r="O73" s="131"/>
      <c r="P73" s="131"/>
      <c r="Q73" s="131"/>
      <c r="R73" s="131"/>
      <c r="S73" s="131"/>
      <c r="T73" s="131"/>
      <c r="U73" s="131"/>
      <c r="V73" s="306"/>
      <c r="W73" s="301">
        <v>15</v>
      </c>
      <c r="X73" s="301">
        <v>2</v>
      </c>
      <c r="Y73" s="301"/>
      <c r="Z73" s="301"/>
    </row>
    <row r="74" spans="1:26" ht="21" customHeight="1">
      <c r="A74" s="60" t="s">
        <v>106</v>
      </c>
      <c r="B74" s="49">
        <f t="shared" ref="B74:G74" si="26">SUM(B64:B73)</f>
        <v>77</v>
      </c>
      <c r="C74" s="49">
        <f t="shared" si="26"/>
        <v>66</v>
      </c>
      <c r="D74" s="49">
        <f t="shared" si="26"/>
        <v>1</v>
      </c>
      <c r="E74" s="49">
        <f t="shared" si="26"/>
        <v>0</v>
      </c>
      <c r="F74" s="49">
        <f t="shared" si="26"/>
        <v>0</v>
      </c>
      <c r="G74" s="49">
        <f t="shared" si="26"/>
        <v>144</v>
      </c>
      <c r="H74" s="135"/>
      <c r="I74" s="135"/>
      <c r="J74" s="135"/>
      <c r="K74" s="135"/>
      <c r="L74" s="135"/>
      <c r="M74" s="134"/>
      <c r="N74" s="135"/>
      <c r="O74" s="135"/>
      <c r="P74" s="135"/>
      <c r="Q74" s="135"/>
      <c r="R74" s="135"/>
      <c r="S74" s="135"/>
      <c r="T74" s="135"/>
      <c r="U74" s="135"/>
      <c r="V74" s="518">
        <f>SUM(V64:V73)</f>
        <v>119</v>
      </c>
      <c r="W74" s="301">
        <f>SUM(W64:W73)</f>
        <v>157</v>
      </c>
      <c r="X74" s="301">
        <f>SUM(X64:X73)</f>
        <v>99</v>
      </c>
      <c r="Y74" s="301">
        <f>SUM(Y64:Y73)</f>
        <v>19</v>
      </c>
      <c r="Z74" s="301">
        <f>SUM(Z64:Z73)</f>
        <v>1</v>
      </c>
    </row>
    <row r="75" spans="1:26" ht="21" customHeight="1">
      <c r="A75" s="67" t="s">
        <v>14</v>
      </c>
      <c r="B75" s="67"/>
      <c r="C75" s="554"/>
      <c r="D75" s="439"/>
      <c r="E75" s="439"/>
      <c r="F75" s="439"/>
      <c r="G75" s="439"/>
      <c r="H75" s="131"/>
      <c r="I75" s="131"/>
      <c r="J75" s="131"/>
      <c r="K75" s="131"/>
      <c r="L75" s="131"/>
      <c r="M75" s="130"/>
      <c r="N75" s="131"/>
      <c r="O75" s="131"/>
      <c r="P75" s="131"/>
      <c r="Q75" s="131"/>
      <c r="R75" s="131"/>
      <c r="S75" s="131"/>
      <c r="T75" s="131"/>
      <c r="U75" s="131"/>
    </row>
    <row r="76" spans="1:26" ht="21" customHeight="1">
      <c r="A76" s="71" t="s">
        <v>107</v>
      </c>
      <c r="B76" s="71"/>
      <c r="C76" s="553"/>
      <c r="D76" s="434"/>
      <c r="E76" s="715">
        <v>3</v>
      </c>
      <c r="F76" s="434"/>
      <c r="G76" s="434">
        <f>SUM(B76:F76)</f>
        <v>3</v>
      </c>
      <c r="H76" s="131"/>
      <c r="I76" s="131"/>
      <c r="J76" s="131"/>
      <c r="K76" s="131"/>
      <c r="L76" s="131"/>
      <c r="M76" s="130"/>
      <c r="N76" s="131"/>
      <c r="O76" s="131"/>
      <c r="P76" s="131"/>
      <c r="Q76" s="131"/>
      <c r="R76" s="131"/>
      <c r="S76" s="131"/>
      <c r="T76" s="131"/>
      <c r="U76" s="131"/>
    </row>
    <row r="77" spans="1:26" ht="21" customHeight="1">
      <c r="A77" s="69"/>
      <c r="B77" s="69"/>
      <c r="C77" s="569"/>
      <c r="D77" s="497"/>
      <c r="E77" s="497"/>
      <c r="F77" s="497"/>
      <c r="G77" s="497"/>
      <c r="H77" s="131"/>
      <c r="I77" s="131"/>
      <c r="J77" s="131"/>
      <c r="K77" s="131"/>
      <c r="L77" s="131"/>
      <c r="M77" s="130"/>
      <c r="N77" s="131"/>
      <c r="O77" s="131"/>
      <c r="P77" s="131"/>
      <c r="Q77" s="131"/>
      <c r="R77" s="131"/>
      <c r="S77" s="131"/>
      <c r="T77" s="131"/>
      <c r="U77" s="131"/>
    </row>
    <row r="78" spans="1:26" ht="21" customHeight="1">
      <c r="A78" s="60" t="s">
        <v>6</v>
      </c>
      <c r="B78" s="49">
        <f t="shared" ref="B78:G78" si="27">SUM(B76:B77)</f>
        <v>0</v>
      </c>
      <c r="C78" s="49">
        <f t="shared" si="27"/>
        <v>0</v>
      </c>
      <c r="D78" s="49">
        <f t="shared" si="27"/>
        <v>0</v>
      </c>
      <c r="E78" s="49">
        <f t="shared" si="27"/>
        <v>3</v>
      </c>
      <c r="F78" s="49">
        <f t="shared" si="27"/>
        <v>0</v>
      </c>
      <c r="G78" s="49">
        <f t="shared" si="27"/>
        <v>3</v>
      </c>
      <c r="H78" s="135"/>
      <c r="I78" s="135"/>
      <c r="J78" s="135"/>
      <c r="K78" s="135"/>
      <c r="L78" s="135"/>
      <c r="M78" s="134"/>
      <c r="N78" s="135"/>
      <c r="O78" s="135"/>
      <c r="P78" s="135"/>
      <c r="Q78" s="135"/>
      <c r="R78" s="135"/>
      <c r="S78" s="135"/>
      <c r="T78" s="135"/>
      <c r="U78" s="135"/>
    </row>
    <row r="79" spans="1:26" ht="21" customHeight="1">
      <c r="A79" s="266" t="s">
        <v>108</v>
      </c>
      <c r="B79" s="488">
        <f t="shared" ref="B79:G79" si="28">SUM(B80:B97)</f>
        <v>294</v>
      </c>
      <c r="C79" s="488">
        <f t="shared" si="28"/>
        <v>185</v>
      </c>
      <c r="D79" s="488">
        <f t="shared" si="28"/>
        <v>160</v>
      </c>
      <c r="E79" s="488">
        <f t="shared" si="28"/>
        <v>112</v>
      </c>
      <c r="F79" s="488">
        <f t="shared" si="28"/>
        <v>24</v>
      </c>
      <c r="G79" s="488">
        <f t="shared" si="28"/>
        <v>775</v>
      </c>
      <c r="H79" s="140"/>
      <c r="I79" s="140"/>
      <c r="J79" s="140"/>
      <c r="K79" s="140">
        <f>136+113+168+271</f>
        <v>688</v>
      </c>
      <c r="L79" s="140"/>
      <c r="M79" s="139"/>
      <c r="N79" s="140"/>
      <c r="O79" s="140"/>
      <c r="P79" s="140"/>
      <c r="Q79" s="140"/>
      <c r="R79" s="140"/>
      <c r="S79" s="140"/>
      <c r="T79" s="140"/>
      <c r="U79" s="140"/>
      <c r="X79" s="301">
        <f>G79</f>
        <v>775</v>
      </c>
    </row>
    <row r="80" spans="1:26" s="46" customFormat="1" ht="21" customHeight="1">
      <c r="A80" s="223" t="s">
        <v>55</v>
      </c>
      <c r="B80" s="223">
        <v>123</v>
      </c>
      <c r="C80" s="548">
        <f>41+41</f>
        <v>82</v>
      </c>
      <c r="D80" s="549">
        <f>40+34</f>
        <v>74</v>
      </c>
      <c r="E80" s="549">
        <v>63</v>
      </c>
      <c r="F80" s="549">
        <v>12</v>
      </c>
      <c r="G80" s="549">
        <f>SUM(B80:F87)</f>
        <v>354</v>
      </c>
      <c r="H80" s="133"/>
      <c r="I80" s="133"/>
      <c r="J80" s="133">
        <f t="shared" ref="J80:J111" si="29">SUM(C80:F80)</f>
        <v>231</v>
      </c>
      <c r="K80" s="133"/>
      <c r="L80" s="133"/>
      <c r="M80" s="132"/>
      <c r="N80" s="133"/>
      <c r="O80" s="133"/>
      <c r="P80" s="133"/>
      <c r="Q80" s="133"/>
      <c r="R80" s="133"/>
      <c r="S80" s="133"/>
      <c r="T80" s="133"/>
      <c r="U80" s="133"/>
      <c r="V80" s="470">
        <v>119</v>
      </c>
      <c r="W80" s="310">
        <v>65</v>
      </c>
      <c r="X80" s="310">
        <v>88</v>
      </c>
      <c r="Y80" s="310">
        <v>36</v>
      </c>
      <c r="Z80" s="310">
        <v>3</v>
      </c>
    </row>
    <row r="81" spans="1:26" ht="21" hidden="1" customHeight="1">
      <c r="A81" s="71" t="s">
        <v>109</v>
      </c>
      <c r="B81" s="71"/>
      <c r="C81" s="553"/>
      <c r="D81" s="434"/>
      <c r="E81" s="434"/>
      <c r="F81" s="434"/>
      <c r="G81" s="434"/>
      <c r="H81" s="131"/>
      <c r="I81" s="131"/>
      <c r="J81" s="131">
        <f t="shared" si="29"/>
        <v>0</v>
      </c>
      <c r="K81" s="131"/>
      <c r="L81" s="131"/>
      <c r="M81" s="130"/>
      <c r="N81" s="131"/>
      <c r="O81" s="131"/>
      <c r="P81" s="131"/>
      <c r="Q81" s="131"/>
      <c r="R81" s="131"/>
      <c r="S81" s="131"/>
      <c r="T81" s="131"/>
      <c r="U81" s="131"/>
      <c r="V81" s="306"/>
      <c r="W81" s="301"/>
      <c r="X81" s="301"/>
      <c r="Y81" s="301"/>
      <c r="Z81" s="301"/>
    </row>
    <row r="82" spans="1:26" ht="21" hidden="1" customHeight="1">
      <c r="A82" s="71" t="s">
        <v>110</v>
      </c>
      <c r="B82" s="71"/>
      <c r="C82" s="553"/>
      <c r="D82" s="434"/>
      <c r="E82" s="434"/>
      <c r="F82" s="434"/>
      <c r="G82" s="434"/>
      <c r="H82" s="131"/>
      <c r="I82" s="131"/>
      <c r="J82" s="131">
        <f t="shared" si="29"/>
        <v>0</v>
      </c>
      <c r="K82" s="131"/>
      <c r="L82" s="131"/>
      <c r="M82" s="130"/>
      <c r="N82" s="131"/>
      <c r="O82" s="131"/>
      <c r="P82" s="131"/>
      <c r="Q82" s="131"/>
      <c r="R82" s="131"/>
      <c r="S82" s="131"/>
      <c r="T82" s="131"/>
      <c r="U82" s="131"/>
      <c r="V82" s="306"/>
      <c r="W82" s="301"/>
      <c r="X82" s="301"/>
      <c r="Y82" s="301"/>
      <c r="Z82" s="301"/>
    </row>
    <row r="83" spans="1:26" ht="21" hidden="1" customHeight="1">
      <c r="A83" s="71" t="s">
        <v>111</v>
      </c>
      <c r="B83" s="71"/>
      <c r="C83" s="553"/>
      <c r="D83" s="434"/>
      <c r="E83" s="434"/>
      <c r="F83" s="434"/>
      <c r="G83" s="434"/>
      <c r="H83" s="131"/>
      <c r="I83" s="131"/>
      <c r="J83" s="131">
        <f t="shared" si="29"/>
        <v>0</v>
      </c>
      <c r="K83" s="131"/>
      <c r="L83" s="131"/>
      <c r="M83" s="130"/>
      <c r="N83" s="131"/>
      <c r="O83" s="131"/>
      <c r="P83" s="131"/>
      <c r="Q83" s="131"/>
      <c r="R83" s="131"/>
      <c r="S83" s="131"/>
      <c r="T83" s="131"/>
      <c r="U83" s="131"/>
      <c r="V83" s="306"/>
      <c r="W83" s="301"/>
      <c r="X83" s="301"/>
      <c r="Y83" s="301"/>
      <c r="Z83" s="301"/>
    </row>
    <row r="84" spans="1:26" ht="21" hidden="1" customHeight="1">
      <c r="A84" s="71" t="s">
        <v>112</v>
      </c>
      <c r="B84" s="71"/>
      <c r="C84" s="553"/>
      <c r="D84" s="434"/>
      <c r="E84" s="434"/>
      <c r="F84" s="434"/>
      <c r="G84" s="434"/>
      <c r="H84" s="131"/>
      <c r="I84" s="131"/>
      <c r="J84" s="131">
        <f t="shared" si="29"/>
        <v>0</v>
      </c>
      <c r="K84" s="131"/>
      <c r="L84" s="131"/>
      <c r="M84" s="130"/>
      <c r="N84" s="131"/>
      <c r="O84" s="131"/>
      <c r="P84" s="131"/>
      <c r="Q84" s="131"/>
      <c r="R84" s="131"/>
      <c r="S84" s="131"/>
      <c r="T84" s="131"/>
      <c r="U84" s="131"/>
      <c r="V84" s="306"/>
      <c r="W84" s="301"/>
      <c r="X84" s="301"/>
      <c r="Y84" s="301"/>
      <c r="Z84" s="301"/>
    </row>
    <row r="85" spans="1:26" ht="21" hidden="1" customHeight="1">
      <c r="A85" s="71" t="s">
        <v>113</v>
      </c>
      <c r="B85" s="71"/>
      <c r="C85" s="553"/>
      <c r="D85" s="434"/>
      <c r="E85" s="434"/>
      <c r="F85" s="434"/>
      <c r="G85" s="434"/>
      <c r="H85" s="131"/>
      <c r="I85" s="131"/>
      <c r="J85" s="131">
        <f t="shared" si="29"/>
        <v>0</v>
      </c>
      <c r="K85" s="131"/>
      <c r="L85" s="131"/>
      <c r="M85" s="130"/>
      <c r="N85" s="131"/>
      <c r="O85" s="131"/>
      <c r="P85" s="131"/>
      <c r="Q85" s="131"/>
      <c r="R85" s="131"/>
      <c r="S85" s="131"/>
      <c r="T85" s="131"/>
      <c r="U85" s="131"/>
      <c r="V85" s="306"/>
      <c r="W85" s="301"/>
      <c r="X85" s="301"/>
      <c r="Y85" s="301"/>
      <c r="Z85" s="301"/>
    </row>
    <row r="86" spans="1:26" ht="21" hidden="1" customHeight="1">
      <c r="A86" s="71" t="s">
        <v>59</v>
      </c>
      <c r="B86" s="71"/>
      <c r="C86" s="553"/>
      <c r="D86" s="434"/>
      <c r="E86" s="434"/>
      <c r="F86" s="434"/>
      <c r="G86" s="434"/>
      <c r="H86" s="131"/>
      <c r="I86" s="131"/>
      <c r="J86" s="131">
        <f t="shared" si="29"/>
        <v>0</v>
      </c>
      <c r="K86" s="131"/>
      <c r="L86" s="131"/>
      <c r="M86" s="130"/>
      <c r="N86" s="131"/>
      <c r="O86" s="131"/>
      <c r="P86" s="131"/>
      <c r="Q86" s="131"/>
      <c r="R86" s="131"/>
      <c r="S86" s="131"/>
      <c r="T86" s="131"/>
      <c r="U86" s="131"/>
      <c r="V86" s="306"/>
      <c r="W86" s="301"/>
      <c r="X86" s="301"/>
      <c r="Y86" s="301"/>
      <c r="Z86" s="301"/>
    </row>
    <row r="87" spans="1:26" ht="21" hidden="1" customHeight="1">
      <c r="A87" s="71" t="s">
        <v>114</v>
      </c>
      <c r="B87" s="71"/>
      <c r="C87" s="553"/>
      <c r="D87" s="434"/>
      <c r="E87" s="434"/>
      <c r="F87" s="434"/>
      <c r="G87" s="434"/>
      <c r="H87" s="131"/>
      <c r="I87" s="131"/>
      <c r="J87" s="131">
        <f t="shared" si="29"/>
        <v>0</v>
      </c>
      <c r="K87" s="131"/>
      <c r="L87" s="131"/>
      <c r="M87" s="130"/>
      <c r="N87" s="131"/>
      <c r="O87" s="131"/>
      <c r="P87" s="131"/>
      <c r="Q87" s="131"/>
      <c r="R87" s="131"/>
      <c r="S87" s="131"/>
      <c r="T87" s="131"/>
      <c r="U87" s="131"/>
      <c r="V87" s="306"/>
      <c r="W87" s="301"/>
      <c r="X87" s="301"/>
      <c r="Y87" s="301"/>
      <c r="Z87" s="301"/>
    </row>
    <row r="88" spans="1:26" ht="21" hidden="1" customHeight="1">
      <c r="A88" s="695" t="s">
        <v>115</v>
      </c>
      <c r="B88" s="71"/>
      <c r="C88" s="553"/>
      <c r="D88" s="434"/>
      <c r="E88" s="434"/>
      <c r="F88" s="434"/>
      <c r="G88" s="434">
        <f t="shared" ref="G88:G95" si="30">SUM(B88:F88)</f>
        <v>0</v>
      </c>
      <c r="H88" s="131"/>
      <c r="I88" s="131"/>
      <c r="J88" s="131">
        <f t="shared" si="29"/>
        <v>0</v>
      </c>
      <c r="K88" s="131"/>
      <c r="L88" s="131"/>
      <c r="M88" s="130"/>
      <c r="N88" s="131"/>
      <c r="O88" s="131"/>
      <c r="P88" s="131"/>
      <c r="Q88" s="131"/>
      <c r="R88" s="131"/>
      <c r="S88" s="131"/>
      <c r="T88" s="131"/>
      <c r="U88" s="131"/>
      <c r="V88" s="306"/>
      <c r="W88" s="301"/>
      <c r="X88" s="301"/>
      <c r="Y88" s="301"/>
      <c r="Z88" s="301"/>
    </row>
    <row r="89" spans="1:26" ht="21" hidden="1" customHeight="1">
      <c r="A89" s="695" t="s">
        <v>116</v>
      </c>
      <c r="B89" s="71"/>
      <c r="C89" s="553"/>
      <c r="D89" s="434"/>
      <c r="E89" s="434"/>
      <c r="F89" s="434"/>
      <c r="G89" s="434">
        <f t="shared" si="30"/>
        <v>0</v>
      </c>
      <c r="H89" s="131"/>
      <c r="I89" s="131"/>
      <c r="J89" s="131">
        <f t="shared" si="29"/>
        <v>0</v>
      </c>
      <c r="K89" s="131"/>
      <c r="L89" s="131"/>
      <c r="M89" s="130"/>
      <c r="N89" s="131"/>
      <c r="O89" s="131"/>
      <c r="P89" s="131"/>
      <c r="Q89" s="131"/>
      <c r="R89" s="131"/>
      <c r="S89" s="131"/>
      <c r="T89" s="131"/>
      <c r="U89" s="131"/>
      <c r="V89" s="306"/>
      <c r="W89" s="301"/>
      <c r="X89" s="301"/>
      <c r="Y89" s="301"/>
      <c r="Z89" s="301"/>
    </row>
    <row r="90" spans="1:26" ht="21" hidden="1" customHeight="1">
      <c r="A90" s="695" t="s">
        <v>117</v>
      </c>
      <c r="B90" s="71"/>
      <c r="C90" s="553"/>
      <c r="D90" s="434"/>
      <c r="E90" s="434"/>
      <c r="F90" s="434"/>
      <c r="G90" s="434">
        <f t="shared" si="30"/>
        <v>0</v>
      </c>
      <c r="H90" s="131"/>
      <c r="I90" s="131"/>
      <c r="J90" s="131">
        <f t="shared" si="29"/>
        <v>0</v>
      </c>
      <c r="K90" s="131"/>
      <c r="L90" s="131"/>
      <c r="M90" s="130"/>
      <c r="N90" s="131"/>
      <c r="O90" s="131"/>
      <c r="P90" s="131"/>
      <c r="Q90" s="131"/>
      <c r="R90" s="131"/>
      <c r="S90" s="131"/>
      <c r="T90" s="131"/>
      <c r="U90" s="131"/>
      <c r="V90" s="306"/>
      <c r="W90" s="301"/>
      <c r="X90" s="301"/>
      <c r="Y90" s="301"/>
      <c r="Z90" s="301"/>
    </row>
    <row r="91" spans="1:26" ht="21" hidden="1" customHeight="1">
      <c r="A91" s="695" t="s">
        <v>118</v>
      </c>
      <c r="B91" s="71"/>
      <c r="C91" s="553"/>
      <c r="D91" s="434"/>
      <c r="E91" s="434"/>
      <c r="F91" s="434"/>
      <c r="G91" s="434">
        <f t="shared" si="30"/>
        <v>0</v>
      </c>
      <c r="H91" s="131"/>
      <c r="I91" s="131"/>
      <c r="J91" s="131">
        <f t="shared" si="29"/>
        <v>0</v>
      </c>
      <c r="K91" s="131"/>
      <c r="L91" s="131"/>
      <c r="M91" s="130"/>
      <c r="N91" s="131"/>
      <c r="O91" s="131"/>
      <c r="P91" s="131"/>
      <c r="Q91" s="131"/>
      <c r="R91" s="131"/>
      <c r="S91" s="131"/>
      <c r="T91" s="131"/>
      <c r="U91" s="131"/>
      <c r="V91" s="306"/>
      <c r="W91" s="301"/>
      <c r="X91" s="301"/>
      <c r="Y91" s="301"/>
      <c r="Z91" s="301"/>
    </row>
    <row r="92" spans="1:26" s="46" customFormat="1" ht="21" customHeight="1">
      <c r="A92" s="226" t="s">
        <v>119</v>
      </c>
      <c r="B92" s="226">
        <f>30+30</f>
        <v>60</v>
      </c>
      <c r="C92" s="550">
        <f>14+36</f>
        <v>50</v>
      </c>
      <c r="D92" s="551">
        <v>22</v>
      </c>
      <c r="E92" s="551">
        <v>16</v>
      </c>
      <c r="F92" s="551">
        <v>12</v>
      </c>
      <c r="G92" s="551">
        <f t="shared" si="30"/>
        <v>160</v>
      </c>
      <c r="H92" s="133"/>
      <c r="I92" s="133"/>
      <c r="J92" s="133">
        <f t="shared" si="29"/>
        <v>100</v>
      </c>
      <c r="K92" s="133"/>
      <c r="L92" s="133"/>
      <c r="M92" s="132"/>
      <c r="N92" s="133"/>
      <c r="O92" s="133"/>
      <c r="P92" s="133"/>
      <c r="Q92" s="133"/>
      <c r="R92" s="133"/>
      <c r="S92" s="133"/>
      <c r="T92" s="133"/>
      <c r="U92" s="133"/>
      <c r="V92" s="470">
        <v>38</v>
      </c>
      <c r="W92" s="310">
        <v>18</v>
      </c>
      <c r="X92" s="310">
        <v>26</v>
      </c>
      <c r="Y92" s="310">
        <v>32</v>
      </c>
      <c r="Z92" s="310">
        <v>2</v>
      </c>
    </row>
    <row r="93" spans="1:26" s="46" customFormat="1" ht="21" customHeight="1">
      <c r="A93" s="571" t="s">
        <v>120</v>
      </c>
      <c r="B93" s="571">
        <v>49</v>
      </c>
      <c r="C93" s="572">
        <f>14+26</f>
        <v>40</v>
      </c>
      <c r="D93" s="573">
        <f>20+22</f>
        <v>42</v>
      </c>
      <c r="E93" s="573">
        <v>33</v>
      </c>
      <c r="F93" s="573"/>
      <c r="G93" s="551">
        <f t="shared" si="30"/>
        <v>164</v>
      </c>
      <c r="H93" s="133"/>
      <c r="I93" s="133"/>
      <c r="J93" s="133">
        <f t="shared" si="29"/>
        <v>115</v>
      </c>
      <c r="K93" s="133"/>
      <c r="L93" s="133"/>
      <c r="M93" s="132"/>
      <c r="N93" s="133"/>
      <c r="O93" s="133"/>
      <c r="P93" s="133"/>
      <c r="Q93" s="133"/>
      <c r="R93" s="133"/>
      <c r="S93" s="133"/>
      <c r="T93" s="133"/>
      <c r="U93" s="133"/>
      <c r="V93" s="470">
        <v>61</v>
      </c>
      <c r="W93" s="310">
        <v>34</v>
      </c>
      <c r="X93" s="310">
        <v>30</v>
      </c>
      <c r="Y93" s="310">
        <v>15</v>
      </c>
      <c r="Z93" s="310">
        <v>1</v>
      </c>
    </row>
    <row r="94" spans="1:26" ht="21" hidden="1" customHeight="1">
      <c r="A94" s="69" t="s">
        <v>121</v>
      </c>
      <c r="B94" s="69"/>
      <c r="C94" s="569"/>
      <c r="D94" s="497"/>
      <c r="E94" s="497"/>
      <c r="F94" s="497"/>
      <c r="G94" s="434">
        <f t="shared" si="30"/>
        <v>0</v>
      </c>
      <c r="H94" s="131"/>
      <c r="I94" s="131"/>
      <c r="J94" s="131">
        <f t="shared" si="29"/>
        <v>0</v>
      </c>
      <c r="K94" s="131"/>
      <c r="L94" s="131"/>
      <c r="M94" s="130"/>
      <c r="N94" s="131"/>
      <c r="O94" s="131"/>
      <c r="P94" s="131"/>
      <c r="Q94" s="131"/>
      <c r="R94" s="131"/>
      <c r="S94" s="131"/>
      <c r="T94" s="131"/>
      <c r="U94" s="131"/>
      <c r="V94" s="306"/>
      <c r="W94" s="301"/>
      <c r="X94" s="301"/>
      <c r="Y94" s="301"/>
      <c r="Z94" s="301">
        <v>1</v>
      </c>
    </row>
    <row r="95" spans="1:26" s="46" customFormat="1" ht="21" customHeight="1">
      <c r="A95" s="571" t="s">
        <v>122</v>
      </c>
      <c r="B95" s="571">
        <v>62</v>
      </c>
      <c r="C95" s="572">
        <v>13</v>
      </c>
      <c r="D95" s="573">
        <v>22</v>
      </c>
      <c r="E95" s="573"/>
      <c r="F95" s="573"/>
      <c r="G95" s="573">
        <f t="shared" si="30"/>
        <v>97</v>
      </c>
      <c r="H95" s="133"/>
      <c r="I95" s="133"/>
      <c r="J95" s="133">
        <f t="shared" si="29"/>
        <v>35</v>
      </c>
      <c r="K95" s="133"/>
      <c r="L95" s="133"/>
      <c r="M95" s="132"/>
      <c r="N95" s="133"/>
      <c r="O95" s="133"/>
      <c r="P95" s="133"/>
      <c r="Q95" s="133"/>
      <c r="R95" s="133"/>
      <c r="S95" s="133"/>
      <c r="T95" s="133"/>
      <c r="U95" s="133"/>
      <c r="V95" s="470">
        <v>33</v>
      </c>
      <c r="W95" s="310"/>
      <c r="X95" s="310"/>
      <c r="Y95" s="310"/>
      <c r="Z95" s="310"/>
    </row>
    <row r="96" spans="1:26" ht="21" hidden="1" customHeight="1">
      <c r="A96" s="69" t="s">
        <v>123</v>
      </c>
      <c r="B96" s="69"/>
      <c r="C96" s="569"/>
      <c r="D96" s="497"/>
      <c r="E96" s="497"/>
      <c r="F96" s="497"/>
      <c r="G96" s="497"/>
      <c r="H96" s="131"/>
      <c r="I96" s="131"/>
      <c r="J96" s="131">
        <f t="shared" si="29"/>
        <v>0</v>
      </c>
      <c r="K96" s="131"/>
      <c r="L96" s="131"/>
      <c r="M96" s="130"/>
      <c r="N96" s="131"/>
      <c r="O96" s="131"/>
      <c r="P96" s="131"/>
      <c r="Q96" s="131"/>
      <c r="R96" s="131"/>
      <c r="S96" s="131"/>
      <c r="T96" s="131"/>
      <c r="U96" s="131"/>
    </row>
    <row r="97" spans="1:26" ht="21" hidden="1" customHeight="1">
      <c r="A97" s="69" t="s">
        <v>124</v>
      </c>
      <c r="B97" s="69"/>
      <c r="C97" s="569"/>
      <c r="D97" s="497"/>
      <c r="E97" s="497"/>
      <c r="F97" s="497"/>
      <c r="G97" s="497"/>
      <c r="H97" s="131"/>
      <c r="I97" s="131"/>
      <c r="J97" s="131">
        <f t="shared" si="29"/>
        <v>0</v>
      </c>
      <c r="K97" s="131"/>
      <c r="L97" s="131"/>
      <c r="M97" s="130"/>
      <c r="N97" s="131"/>
      <c r="O97" s="131"/>
      <c r="P97" s="131"/>
      <c r="Q97" s="131"/>
      <c r="R97" s="131"/>
      <c r="S97" s="131"/>
      <c r="T97" s="131"/>
      <c r="U97" s="131"/>
    </row>
    <row r="98" spans="1:26" ht="21" hidden="1" customHeight="1">
      <c r="A98" s="60" t="s">
        <v>6</v>
      </c>
      <c r="B98" s="60"/>
      <c r="C98" s="542"/>
      <c r="D98" s="49">
        <f>SUM(D80:D97)</f>
        <v>160</v>
      </c>
      <c r="E98" s="49">
        <f>SUM(E80:E97)</f>
        <v>112</v>
      </c>
      <c r="F98" s="49">
        <f>SUM(F80:F97)</f>
        <v>24</v>
      </c>
      <c r="G98" s="49">
        <f>SUM(G80:G97)</f>
        <v>775</v>
      </c>
      <c r="H98" s="135"/>
      <c r="I98" s="135"/>
      <c r="J98" s="131">
        <f t="shared" si="29"/>
        <v>296</v>
      </c>
      <c r="K98" s="135"/>
      <c r="L98" s="135"/>
      <c r="M98" s="134"/>
      <c r="N98" s="135"/>
      <c r="O98" s="135"/>
      <c r="P98" s="135"/>
      <c r="Q98" s="135"/>
      <c r="R98" s="135"/>
      <c r="S98" s="135"/>
      <c r="T98" s="135"/>
      <c r="U98" s="135"/>
    </row>
    <row r="99" spans="1:26" ht="21" customHeight="1">
      <c r="A99" s="266" t="s">
        <v>125</v>
      </c>
      <c r="B99" s="488">
        <f>SUM(B100:B111)</f>
        <v>557</v>
      </c>
      <c r="C99" s="488">
        <f>SUM(C100:C111)</f>
        <v>457</v>
      </c>
      <c r="D99" s="488">
        <f t="shared" ref="D99:G99" si="31">SUM(D100:D111)</f>
        <v>405</v>
      </c>
      <c r="E99" s="488">
        <f t="shared" si="31"/>
        <v>82</v>
      </c>
      <c r="F99" s="488">
        <f t="shared" si="31"/>
        <v>20</v>
      </c>
      <c r="G99" s="488">
        <f t="shared" si="31"/>
        <v>1521</v>
      </c>
      <c r="H99" s="140"/>
      <c r="I99" s="140"/>
      <c r="J99" s="131">
        <f t="shared" si="29"/>
        <v>964</v>
      </c>
      <c r="K99" s="140"/>
      <c r="L99" s="140"/>
      <c r="M99" s="139"/>
      <c r="N99" s="140"/>
      <c r="O99" s="140"/>
      <c r="P99" s="140"/>
      <c r="Q99" s="140"/>
      <c r="R99" s="140"/>
      <c r="S99" s="140"/>
      <c r="T99" s="140"/>
      <c r="U99" s="140"/>
      <c r="V99" s="301">
        <f>SUM(V80:V98)</f>
        <v>251</v>
      </c>
      <c r="W99" s="301">
        <f>SUM(W80:W98)</f>
        <v>117</v>
      </c>
      <c r="X99" s="301">
        <f>SUM(X80:X98)</f>
        <v>144</v>
      </c>
      <c r="Y99" s="301">
        <f>SUM(Y80:Y98)</f>
        <v>83</v>
      </c>
      <c r="Z99" s="301">
        <f>SUM(Z80:Z98)</f>
        <v>7</v>
      </c>
    </row>
    <row r="100" spans="1:26" s="46" customFormat="1" ht="21" customHeight="1">
      <c r="A100" s="574" t="s">
        <v>126</v>
      </c>
      <c r="B100" s="574"/>
      <c r="C100" s="578"/>
      <c r="D100" s="579"/>
      <c r="E100" s="579">
        <v>4</v>
      </c>
      <c r="F100" s="579">
        <v>1</v>
      </c>
      <c r="G100" s="549">
        <f t="shared" ref="G100:G111" si="32">SUM(B100:F100)</f>
        <v>5</v>
      </c>
      <c r="H100" s="133"/>
      <c r="I100" s="133">
        <v>1</v>
      </c>
      <c r="J100" s="133">
        <f t="shared" si="29"/>
        <v>5</v>
      </c>
      <c r="K100" s="133"/>
      <c r="L100" s="133"/>
      <c r="M100" s="132"/>
      <c r="N100" s="133"/>
      <c r="O100" s="133"/>
      <c r="P100" s="133"/>
      <c r="Q100" s="133"/>
      <c r="R100" s="133"/>
      <c r="S100" s="133"/>
      <c r="T100" s="133"/>
      <c r="U100" s="133"/>
      <c r="V100" s="470">
        <v>78</v>
      </c>
      <c r="W100" s="310">
        <v>55</v>
      </c>
      <c r="X100" s="310">
        <v>52</v>
      </c>
      <c r="Y100" s="310">
        <v>29</v>
      </c>
      <c r="Z100" s="310">
        <v>16</v>
      </c>
    </row>
    <row r="101" spans="1:26" ht="21" customHeight="1">
      <c r="A101" s="226" t="s">
        <v>127</v>
      </c>
      <c r="B101" s="226">
        <v>56</v>
      </c>
      <c r="C101" s="550">
        <v>43</v>
      </c>
      <c r="D101" s="551">
        <v>44</v>
      </c>
      <c r="E101" s="551">
        <v>4</v>
      </c>
      <c r="F101" s="551">
        <v>3</v>
      </c>
      <c r="G101" s="551">
        <f t="shared" si="32"/>
        <v>150</v>
      </c>
      <c r="H101" s="131"/>
      <c r="I101" s="131">
        <v>2</v>
      </c>
      <c r="J101" s="131">
        <f t="shared" si="29"/>
        <v>94</v>
      </c>
      <c r="K101" s="131"/>
      <c r="L101" s="131"/>
      <c r="M101" s="130"/>
      <c r="N101" s="131"/>
      <c r="O101" s="131"/>
      <c r="P101" s="131"/>
      <c r="Q101" s="131"/>
      <c r="R101" s="131"/>
      <c r="S101" s="131"/>
      <c r="T101" s="131"/>
      <c r="U101" s="131"/>
      <c r="V101" s="306">
        <v>49</v>
      </c>
      <c r="W101" s="301">
        <v>47</v>
      </c>
      <c r="X101" s="301">
        <v>46</v>
      </c>
      <c r="Y101" s="301">
        <v>40</v>
      </c>
      <c r="Z101" s="301">
        <v>7</v>
      </c>
    </row>
    <row r="102" spans="1:26" ht="21" customHeight="1">
      <c r="A102" s="226" t="s">
        <v>128</v>
      </c>
      <c r="B102" s="226">
        <v>79</v>
      </c>
      <c r="C102" s="550">
        <v>50</v>
      </c>
      <c r="D102" s="551">
        <v>42</v>
      </c>
      <c r="E102" s="551"/>
      <c r="F102" s="551"/>
      <c r="G102" s="551">
        <f t="shared" si="32"/>
        <v>171</v>
      </c>
      <c r="H102" s="131"/>
      <c r="I102" s="131">
        <v>2</v>
      </c>
      <c r="J102" s="131">
        <f t="shared" si="29"/>
        <v>92</v>
      </c>
      <c r="K102" s="131"/>
      <c r="L102" s="131"/>
      <c r="M102" s="130"/>
      <c r="N102" s="131"/>
      <c r="O102" s="131"/>
      <c r="P102" s="131"/>
      <c r="Q102" s="131"/>
      <c r="R102" s="131"/>
      <c r="S102" s="131"/>
      <c r="T102" s="131"/>
      <c r="U102" s="131"/>
      <c r="V102" s="306">
        <v>49</v>
      </c>
      <c r="W102" s="301">
        <v>47</v>
      </c>
      <c r="X102" s="301">
        <v>46</v>
      </c>
      <c r="Y102" s="301">
        <v>40</v>
      </c>
      <c r="Z102" s="301">
        <v>7</v>
      </c>
    </row>
    <row r="103" spans="1:26" ht="21" customHeight="1">
      <c r="A103" s="226" t="s">
        <v>129</v>
      </c>
      <c r="B103" s="226">
        <v>33</v>
      </c>
      <c r="C103" s="550">
        <v>43</v>
      </c>
      <c r="D103" s="551">
        <v>33</v>
      </c>
      <c r="E103" s="551">
        <v>5</v>
      </c>
      <c r="F103" s="551">
        <f>3</f>
        <v>3</v>
      </c>
      <c r="G103" s="551">
        <f t="shared" si="32"/>
        <v>117</v>
      </c>
      <c r="H103" s="131"/>
      <c r="I103" s="131">
        <v>3</v>
      </c>
      <c r="J103" s="131">
        <f t="shared" si="29"/>
        <v>84</v>
      </c>
      <c r="K103" s="131"/>
      <c r="L103" s="131"/>
      <c r="M103" s="130"/>
      <c r="N103" s="131"/>
      <c r="O103" s="131"/>
      <c r="P103" s="131"/>
      <c r="Q103" s="131"/>
      <c r="R103" s="131"/>
      <c r="S103" s="131"/>
      <c r="T103" s="131"/>
      <c r="U103" s="131"/>
      <c r="V103" s="306">
        <v>40</v>
      </c>
      <c r="W103" s="301">
        <v>38</v>
      </c>
      <c r="X103" s="301">
        <v>61</v>
      </c>
      <c r="Y103" s="301">
        <v>38</v>
      </c>
      <c r="Z103" s="301"/>
    </row>
    <row r="104" spans="1:26" ht="21" customHeight="1">
      <c r="A104" s="226" t="s">
        <v>130</v>
      </c>
      <c r="B104" s="226">
        <v>49</v>
      </c>
      <c r="C104" s="550">
        <v>29</v>
      </c>
      <c r="D104" s="551">
        <v>40</v>
      </c>
      <c r="E104" s="551"/>
      <c r="F104" s="551">
        <v>1</v>
      </c>
      <c r="G104" s="551">
        <f t="shared" si="32"/>
        <v>119</v>
      </c>
      <c r="H104" s="131"/>
      <c r="I104" s="131">
        <v>4</v>
      </c>
      <c r="J104" s="131">
        <f t="shared" si="29"/>
        <v>70</v>
      </c>
      <c r="K104" s="131"/>
      <c r="L104" s="131"/>
      <c r="M104" s="130"/>
      <c r="N104" s="131"/>
      <c r="O104" s="131"/>
      <c r="P104" s="131"/>
      <c r="Q104" s="131"/>
      <c r="R104" s="131"/>
      <c r="S104" s="131"/>
      <c r="T104" s="131"/>
      <c r="U104" s="131"/>
      <c r="V104" s="306">
        <v>49</v>
      </c>
      <c r="W104" s="301"/>
      <c r="X104" s="301">
        <v>42</v>
      </c>
      <c r="Y104" s="301"/>
      <c r="Z104" s="301">
        <v>2</v>
      </c>
    </row>
    <row r="105" spans="1:26" ht="21" customHeight="1">
      <c r="A105" s="226" t="s">
        <v>131</v>
      </c>
      <c r="B105" s="226">
        <v>51</v>
      </c>
      <c r="C105" s="550">
        <v>77</v>
      </c>
      <c r="D105" s="551">
        <v>75</v>
      </c>
      <c r="E105" s="551">
        <v>5</v>
      </c>
      <c r="F105" s="551">
        <v>2</v>
      </c>
      <c r="G105" s="551">
        <f t="shared" si="32"/>
        <v>210</v>
      </c>
      <c r="H105" s="131"/>
      <c r="I105" s="131">
        <v>5</v>
      </c>
      <c r="J105" s="131">
        <f t="shared" si="29"/>
        <v>159</v>
      </c>
      <c r="K105" s="131"/>
      <c r="L105" s="131"/>
      <c r="M105" s="130"/>
      <c r="N105" s="131"/>
      <c r="O105" s="131"/>
      <c r="P105" s="131"/>
      <c r="Q105" s="131"/>
      <c r="R105" s="131"/>
      <c r="S105" s="131"/>
      <c r="T105" s="131"/>
      <c r="U105" s="131"/>
      <c r="V105" s="306">
        <v>104</v>
      </c>
      <c r="W105" s="301">
        <v>41</v>
      </c>
      <c r="X105" s="301">
        <v>47</v>
      </c>
      <c r="Y105" s="301">
        <v>36</v>
      </c>
      <c r="Z105" s="301">
        <v>11</v>
      </c>
    </row>
    <row r="106" spans="1:26" ht="21" customHeight="1">
      <c r="A106" s="226" t="s">
        <v>132</v>
      </c>
      <c r="B106" s="226">
        <v>47</v>
      </c>
      <c r="C106" s="550">
        <v>31</v>
      </c>
      <c r="D106" s="551">
        <v>21</v>
      </c>
      <c r="E106" s="551">
        <v>16</v>
      </c>
      <c r="F106" s="551">
        <v>6</v>
      </c>
      <c r="G106" s="551">
        <f t="shared" si="32"/>
        <v>121</v>
      </c>
      <c r="H106" s="131"/>
      <c r="I106" s="131">
        <v>6</v>
      </c>
      <c r="J106" s="131">
        <f t="shared" si="29"/>
        <v>74</v>
      </c>
      <c r="K106" s="131"/>
      <c r="L106" s="131"/>
      <c r="M106" s="130"/>
      <c r="N106" s="131"/>
      <c r="O106" s="131"/>
      <c r="P106" s="131"/>
      <c r="Q106" s="131"/>
      <c r="R106" s="131"/>
      <c r="S106" s="131"/>
      <c r="T106" s="131"/>
      <c r="U106" s="131"/>
      <c r="V106" s="306">
        <v>44</v>
      </c>
      <c r="W106" s="301">
        <v>28</v>
      </c>
      <c r="X106" s="301">
        <v>23</v>
      </c>
      <c r="Y106" s="301">
        <v>21</v>
      </c>
      <c r="Z106" s="301"/>
    </row>
    <row r="107" spans="1:26" ht="21" customHeight="1">
      <c r="A107" s="226" t="s">
        <v>133</v>
      </c>
      <c r="B107" s="226">
        <v>53</v>
      </c>
      <c r="C107" s="550">
        <f>30+43</f>
        <v>73</v>
      </c>
      <c r="D107" s="551"/>
      <c r="E107" s="551">
        <v>29</v>
      </c>
      <c r="F107" s="551">
        <f>1</f>
        <v>1</v>
      </c>
      <c r="G107" s="551">
        <f t="shared" si="32"/>
        <v>156</v>
      </c>
      <c r="H107" s="131"/>
      <c r="I107" s="131">
        <v>7</v>
      </c>
      <c r="J107" s="131">
        <f t="shared" si="29"/>
        <v>103</v>
      </c>
      <c r="K107" s="131"/>
      <c r="L107" s="131"/>
      <c r="M107" s="130"/>
      <c r="N107" s="131"/>
      <c r="O107" s="131"/>
      <c r="P107" s="131"/>
      <c r="Q107" s="131"/>
      <c r="R107" s="131"/>
      <c r="S107" s="131"/>
      <c r="T107" s="131"/>
      <c r="U107" s="131"/>
      <c r="V107" s="306"/>
      <c r="W107" s="301">
        <v>33</v>
      </c>
      <c r="X107" s="301">
        <v>41</v>
      </c>
      <c r="Y107" s="301">
        <v>36</v>
      </c>
      <c r="Z107" s="301">
        <v>3</v>
      </c>
    </row>
    <row r="108" spans="1:26" s="46" customFormat="1" ht="21" customHeight="1">
      <c r="A108" s="71" t="s">
        <v>134</v>
      </c>
      <c r="B108" s="226">
        <v>18</v>
      </c>
      <c r="C108" s="553"/>
      <c r="D108" s="434"/>
      <c r="E108" s="716">
        <v>14</v>
      </c>
      <c r="F108" s="716">
        <v>3</v>
      </c>
      <c r="G108" s="434">
        <f t="shared" si="32"/>
        <v>35</v>
      </c>
      <c r="H108" s="133"/>
      <c r="I108" s="133">
        <v>8</v>
      </c>
      <c r="J108" s="133">
        <f t="shared" si="29"/>
        <v>17</v>
      </c>
      <c r="K108" s="133"/>
      <c r="L108" s="133"/>
      <c r="M108" s="132" t="s">
        <v>135</v>
      </c>
      <c r="N108" s="133"/>
      <c r="O108" s="133"/>
      <c r="P108" s="133"/>
      <c r="Q108" s="133"/>
      <c r="R108" s="133"/>
      <c r="S108" s="133"/>
      <c r="T108" s="133"/>
      <c r="U108" s="133"/>
      <c r="V108" s="470"/>
      <c r="W108" s="310">
        <v>22</v>
      </c>
      <c r="X108" s="310">
        <v>30</v>
      </c>
      <c r="Y108" s="310">
        <v>9</v>
      </c>
      <c r="Z108" s="310"/>
    </row>
    <row r="109" spans="1:26" ht="21" customHeight="1">
      <c r="A109" s="226" t="s">
        <v>136</v>
      </c>
      <c r="B109" s="226">
        <v>59</v>
      </c>
      <c r="C109" s="550">
        <v>67</v>
      </c>
      <c r="D109" s="551">
        <v>73</v>
      </c>
      <c r="E109" s="551"/>
      <c r="F109" s="551"/>
      <c r="G109" s="551">
        <f t="shared" si="32"/>
        <v>199</v>
      </c>
      <c r="H109" s="131"/>
      <c r="I109" s="131">
        <v>9</v>
      </c>
      <c r="J109" s="131">
        <f t="shared" si="29"/>
        <v>140</v>
      </c>
      <c r="K109" s="131"/>
      <c r="L109" s="131"/>
      <c r="M109" s="130"/>
      <c r="N109" s="131"/>
      <c r="O109" s="131"/>
      <c r="P109" s="131"/>
      <c r="Q109" s="131"/>
      <c r="R109" s="131"/>
      <c r="S109" s="131"/>
      <c r="T109" s="131"/>
      <c r="U109" s="131"/>
      <c r="V109" s="306">
        <v>82</v>
      </c>
      <c r="W109" s="301"/>
      <c r="X109" s="301"/>
      <c r="Y109" s="301"/>
      <c r="Z109" s="301"/>
    </row>
    <row r="110" spans="1:26" s="46" customFormat="1" ht="21" customHeight="1">
      <c r="A110" s="226" t="s">
        <v>137</v>
      </c>
      <c r="B110" s="226">
        <v>52</v>
      </c>
      <c r="C110" s="550"/>
      <c r="D110" s="551"/>
      <c r="E110" s="551"/>
      <c r="F110" s="551"/>
      <c r="G110" s="551">
        <f t="shared" si="32"/>
        <v>52</v>
      </c>
      <c r="H110" s="133"/>
      <c r="I110" s="133">
        <v>9</v>
      </c>
      <c r="J110" s="133">
        <f t="shared" si="29"/>
        <v>0</v>
      </c>
      <c r="K110" s="133"/>
      <c r="L110" s="133"/>
      <c r="M110" s="132"/>
      <c r="N110" s="133"/>
      <c r="O110" s="133"/>
      <c r="P110" s="133"/>
      <c r="Q110" s="133"/>
      <c r="R110" s="133"/>
      <c r="S110" s="133"/>
      <c r="T110" s="133"/>
      <c r="U110" s="133"/>
      <c r="V110" s="470">
        <v>82</v>
      </c>
      <c r="W110" s="310"/>
      <c r="X110" s="310"/>
      <c r="Y110" s="310"/>
      <c r="Z110" s="310"/>
    </row>
    <row r="111" spans="1:26" ht="21" customHeight="1">
      <c r="A111" s="571" t="s">
        <v>138</v>
      </c>
      <c r="B111" s="571">
        <v>60</v>
      </c>
      <c r="C111" s="572">
        <v>44</v>
      </c>
      <c r="D111" s="573">
        <f>50+27</f>
        <v>77</v>
      </c>
      <c r="E111" s="573">
        <v>5</v>
      </c>
      <c r="F111" s="573"/>
      <c r="G111" s="579">
        <f t="shared" si="32"/>
        <v>186</v>
      </c>
      <c r="H111" s="131"/>
      <c r="I111" s="131">
        <v>10</v>
      </c>
      <c r="J111" s="131">
        <f t="shared" si="29"/>
        <v>126</v>
      </c>
      <c r="K111" s="131"/>
      <c r="L111" s="131"/>
      <c r="M111" s="130"/>
      <c r="N111" s="131"/>
      <c r="O111" s="131"/>
      <c r="P111" s="131"/>
      <c r="Q111" s="131"/>
      <c r="R111" s="131"/>
      <c r="S111" s="131"/>
      <c r="T111" s="131"/>
      <c r="U111" s="131"/>
      <c r="V111" s="306">
        <v>97</v>
      </c>
      <c r="W111" s="301">
        <v>49</v>
      </c>
      <c r="X111" s="301">
        <v>43</v>
      </c>
      <c r="Y111" s="301">
        <v>52</v>
      </c>
      <c r="Z111" s="301">
        <v>5</v>
      </c>
    </row>
    <row r="112" spans="1:26" ht="21" customHeight="1">
      <c r="A112" s="60" t="s">
        <v>6</v>
      </c>
      <c r="B112" s="49">
        <f>SUM(B100:B111)</f>
        <v>557</v>
      </c>
      <c r="C112" s="49">
        <f>SUM(C100:C111)</f>
        <v>457</v>
      </c>
      <c r="D112" s="49">
        <f t="shared" ref="D112:G112" si="33">SUM(D100:D111)</f>
        <v>405</v>
      </c>
      <c r="E112" s="49">
        <f t="shared" si="33"/>
        <v>82</v>
      </c>
      <c r="F112" s="49">
        <f t="shared" si="33"/>
        <v>20</v>
      </c>
      <c r="G112" s="49">
        <f t="shared" si="33"/>
        <v>1521</v>
      </c>
      <c r="H112" s="135"/>
      <c r="I112" s="135"/>
      <c r="J112" s="135"/>
      <c r="K112" s="135"/>
      <c r="L112" s="135"/>
      <c r="M112" s="134"/>
      <c r="N112" s="135">
        <f>37+11+5+6</f>
        <v>59</v>
      </c>
      <c r="O112" s="135"/>
      <c r="P112" s="135"/>
      <c r="Q112" s="135"/>
      <c r="R112" s="135"/>
      <c r="S112" s="135"/>
      <c r="T112" s="135"/>
      <c r="U112" s="135"/>
      <c r="V112" s="306">
        <f>SUM(V100:V111)</f>
        <v>674</v>
      </c>
      <c r="W112" s="301">
        <f>SUM(W100:W111)</f>
        <v>360</v>
      </c>
      <c r="X112" s="301">
        <f>SUM(X100:X111)</f>
        <v>431</v>
      </c>
      <c r="Y112" s="301">
        <f>SUM(Y100:Y111)</f>
        <v>301</v>
      </c>
      <c r="Z112" s="301">
        <f>SUM(Z100:Z111)</f>
        <v>51</v>
      </c>
    </row>
    <row r="113" spans="1:27" ht="21" customHeight="1">
      <c r="A113" s="266" t="s">
        <v>139</v>
      </c>
      <c r="B113" s="488">
        <f t="shared" ref="B113:G113" si="34">SUM(B125,B131,B135)</f>
        <v>820</v>
      </c>
      <c r="C113" s="488">
        <f t="shared" si="34"/>
        <v>602</v>
      </c>
      <c r="D113" s="488">
        <f t="shared" si="34"/>
        <v>504</v>
      </c>
      <c r="E113" s="488">
        <f t="shared" si="34"/>
        <v>76</v>
      </c>
      <c r="F113" s="488">
        <f t="shared" si="34"/>
        <v>12</v>
      </c>
      <c r="G113" s="488">
        <f t="shared" si="34"/>
        <v>2005</v>
      </c>
      <c r="H113" s="140">
        <f>G113-4</f>
        <v>2001</v>
      </c>
      <c r="I113" s="140"/>
      <c r="J113" s="140"/>
      <c r="K113" s="140">
        <f>1981-2</f>
        <v>1979</v>
      </c>
      <c r="L113" s="140"/>
      <c r="M113" s="139"/>
      <c r="N113" s="140"/>
      <c r="O113" s="140"/>
      <c r="P113" s="140"/>
      <c r="Q113" s="140"/>
      <c r="R113" s="140"/>
      <c r="S113" s="140"/>
      <c r="T113" s="140"/>
      <c r="U113" s="140"/>
      <c r="X113" s="301"/>
    </row>
    <row r="114" spans="1:27" s="46" customFormat="1" ht="21" customHeight="1">
      <c r="A114" s="223" t="s">
        <v>140</v>
      </c>
      <c r="B114" s="223">
        <v>38</v>
      </c>
      <c r="C114" s="548">
        <v>32</v>
      </c>
      <c r="D114" s="549"/>
      <c r="E114" s="549"/>
      <c r="F114" s="549"/>
      <c r="G114" s="549">
        <f t="shared" ref="G114:G124" si="35">SUM(B114:F114)</f>
        <v>70</v>
      </c>
      <c r="H114" s="133"/>
      <c r="I114" s="133"/>
      <c r="J114" s="133">
        <f t="shared" ref="J114:J124" si="36">SUM(C114:F114)</f>
        <v>32</v>
      </c>
      <c r="K114" s="133"/>
      <c r="L114" s="133"/>
      <c r="M114" s="132"/>
      <c r="N114" s="133"/>
      <c r="O114" s="133"/>
      <c r="P114" s="133"/>
      <c r="Q114" s="133"/>
      <c r="R114" s="133"/>
      <c r="S114" s="133"/>
      <c r="T114" s="133"/>
      <c r="U114" s="133"/>
      <c r="V114" s="470">
        <v>47</v>
      </c>
      <c r="W114" s="310">
        <v>23</v>
      </c>
      <c r="X114" s="310">
        <v>27</v>
      </c>
      <c r="Y114" s="310">
        <v>17</v>
      </c>
      <c r="Z114" s="310"/>
    </row>
    <row r="115" spans="1:27" s="46" customFormat="1" ht="21" customHeight="1">
      <c r="A115" s="223" t="s">
        <v>141</v>
      </c>
      <c r="B115" s="223">
        <v>32</v>
      </c>
      <c r="C115" s="548">
        <v>31</v>
      </c>
      <c r="D115" s="549">
        <v>31</v>
      </c>
      <c r="E115" s="549">
        <v>9</v>
      </c>
      <c r="F115" s="549"/>
      <c r="G115" s="549">
        <f t="shared" si="35"/>
        <v>103</v>
      </c>
      <c r="H115" s="133"/>
      <c r="I115" s="133"/>
      <c r="J115" s="133">
        <f t="shared" si="36"/>
        <v>71</v>
      </c>
      <c r="K115" s="133"/>
      <c r="L115" s="133"/>
      <c r="M115" s="132"/>
      <c r="N115" s="133"/>
      <c r="O115" s="133"/>
      <c r="P115" s="133"/>
      <c r="Q115" s="133"/>
      <c r="R115" s="133"/>
      <c r="S115" s="133"/>
      <c r="T115" s="133"/>
      <c r="U115" s="133"/>
      <c r="V115" s="470">
        <v>47</v>
      </c>
      <c r="W115" s="310">
        <v>23</v>
      </c>
      <c r="X115" s="310">
        <v>27</v>
      </c>
      <c r="Y115" s="310">
        <v>17</v>
      </c>
      <c r="Z115" s="310"/>
    </row>
    <row r="116" spans="1:27" s="46" customFormat="1" ht="21" customHeight="1">
      <c r="A116" s="226" t="s">
        <v>142</v>
      </c>
      <c r="B116" s="226">
        <v>209</v>
      </c>
      <c r="C116" s="550">
        <v>130</v>
      </c>
      <c r="D116" s="551">
        <f>40+43+52+45</f>
        <v>180</v>
      </c>
      <c r="E116" s="551">
        <v>7</v>
      </c>
      <c r="F116" s="551">
        <v>4</v>
      </c>
      <c r="G116" s="549">
        <f t="shared" si="35"/>
        <v>530</v>
      </c>
      <c r="H116" s="133"/>
      <c r="I116" s="133"/>
      <c r="J116" s="133">
        <f t="shared" si="36"/>
        <v>321</v>
      </c>
      <c r="K116" s="133"/>
      <c r="L116" s="133"/>
      <c r="M116" s="132"/>
      <c r="N116" s="133"/>
      <c r="O116" s="133"/>
      <c r="P116" s="133"/>
      <c r="Q116" s="133"/>
      <c r="R116" s="133"/>
      <c r="S116" s="133"/>
      <c r="T116" s="133"/>
      <c r="U116" s="133"/>
      <c r="V116" s="470">
        <v>228</v>
      </c>
      <c r="W116" s="310">
        <v>110</v>
      </c>
      <c r="X116" s="310">
        <v>123</v>
      </c>
      <c r="Y116" s="310">
        <v>93</v>
      </c>
      <c r="Z116" s="310"/>
    </row>
    <row r="117" spans="1:27" s="46" customFormat="1" ht="21" customHeight="1">
      <c r="A117" s="226" t="s">
        <v>143</v>
      </c>
      <c r="B117" s="226">
        <v>46</v>
      </c>
      <c r="C117" s="550">
        <v>39</v>
      </c>
      <c r="D117" s="551">
        <v>42</v>
      </c>
      <c r="E117" s="551">
        <v>10</v>
      </c>
      <c r="F117" s="551">
        <v>4</v>
      </c>
      <c r="G117" s="549">
        <f t="shared" si="35"/>
        <v>141</v>
      </c>
      <c r="H117" s="133"/>
      <c r="I117" s="133"/>
      <c r="J117" s="133">
        <f t="shared" si="36"/>
        <v>95</v>
      </c>
      <c r="K117" s="133"/>
      <c r="L117" s="133"/>
      <c r="M117" s="132"/>
      <c r="N117" s="133"/>
      <c r="O117" s="133"/>
      <c r="P117" s="133"/>
      <c r="Q117" s="133"/>
      <c r="R117" s="133"/>
      <c r="S117" s="133"/>
      <c r="T117" s="133"/>
      <c r="U117" s="133"/>
      <c r="V117" s="470">
        <v>55</v>
      </c>
      <c r="W117" s="310">
        <v>51</v>
      </c>
      <c r="X117" s="310">
        <v>30</v>
      </c>
      <c r="Y117" s="310">
        <v>22</v>
      </c>
      <c r="Z117" s="310">
        <v>10</v>
      </c>
    </row>
    <row r="118" spans="1:27" s="46" customFormat="1" ht="21" customHeight="1">
      <c r="A118" s="226" t="s">
        <v>144</v>
      </c>
      <c r="B118" s="226">
        <v>50</v>
      </c>
      <c r="C118" s="550">
        <v>55</v>
      </c>
      <c r="D118" s="551">
        <v>67</v>
      </c>
      <c r="E118" s="551">
        <v>7</v>
      </c>
      <c r="F118" s="551">
        <v>1</v>
      </c>
      <c r="G118" s="549">
        <f t="shared" si="35"/>
        <v>180</v>
      </c>
      <c r="H118" s="133"/>
      <c r="I118" s="133"/>
      <c r="J118" s="133">
        <f t="shared" si="36"/>
        <v>130</v>
      </c>
      <c r="K118" s="133"/>
      <c r="L118" s="133"/>
      <c r="M118" s="132"/>
      <c r="N118" s="133"/>
      <c r="O118" s="133"/>
      <c r="P118" s="133"/>
      <c r="Q118" s="133"/>
      <c r="R118" s="133"/>
      <c r="S118" s="133"/>
      <c r="T118" s="133"/>
      <c r="U118" s="133"/>
      <c r="V118" s="470">
        <v>91</v>
      </c>
      <c r="W118" s="310">
        <v>72</v>
      </c>
      <c r="X118" s="310">
        <v>42</v>
      </c>
      <c r="Y118" s="310">
        <v>50</v>
      </c>
      <c r="Z118" s="310">
        <v>7</v>
      </c>
    </row>
    <row r="119" spans="1:27" s="46" customFormat="1" ht="21" customHeight="1">
      <c r="A119" s="226" t="s">
        <v>145</v>
      </c>
      <c r="B119" s="226">
        <v>50</v>
      </c>
      <c r="C119" s="550">
        <v>67</v>
      </c>
      <c r="D119" s="551">
        <v>34</v>
      </c>
      <c r="E119" s="551">
        <v>13</v>
      </c>
      <c r="F119" s="551">
        <v>2</v>
      </c>
      <c r="G119" s="549">
        <f t="shared" si="35"/>
        <v>166</v>
      </c>
      <c r="H119" s="133"/>
      <c r="I119" s="133"/>
      <c r="J119" s="133">
        <f t="shared" si="36"/>
        <v>116</v>
      </c>
      <c r="K119" s="133"/>
      <c r="L119" s="133"/>
      <c r="M119" s="132"/>
      <c r="N119" s="133"/>
      <c r="O119" s="133"/>
      <c r="P119" s="133"/>
      <c r="Q119" s="133"/>
      <c r="R119" s="133"/>
      <c r="S119" s="133"/>
      <c r="T119" s="133"/>
      <c r="U119" s="133"/>
      <c r="V119" s="470">
        <v>48</v>
      </c>
      <c r="W119" s="310">
        <v>41</v>
      </c>
      <c r="X119" s="310">
        <v>24</v>
      </c>
      <c r="Y119" s="310">
        <v>21</v>
      </c>
      <c r="Z119" s="310">
        <v>13</v>
      </c>
    </row>
    <row r="120" spans="1:27" ht="21" hidden="1" customHeight="1">
      <c r="A120" s="71" t="s">
        <v>146</v>
      </c>
      <c r="B120" s="71"/>
      <c r="C120" s="553"/>
      <c r="D120" s="434"/>
      <c r="E120" s="434"/>
      <c r="F120" s="434"/>
      <c r="G120" s="439">
        <f t="shared" si="35"/>
        <v>0</v>
      </c>
      <c r="H120" s="131"/>
      <c r="I120" s="131"/>
      <c r="J120" s="131">
        <f t="shared" si="36"/>
        <v>0</v>
      </c>
      <c r="K120" s="131"/>
      <c r="L120" s="131"/>
      <c r="M120" s="130"/>
      <c r="N120" s="131"/>
      <c r="O120" s="131"/>
      <c r="P120" s="131"/>
      <c r="Q120" s="131"/>
      <c r="R120" s="131"/>
      <c r="S120" s="131"/>
      <c r="T120" s="131"/>
      <c r="U120" s="131"/>
      <c r="V120" s="306"/>
      <c r="W120" s="301"/>
      <c r="X120" s="301"/>
      <c r="Y120" s="301"/>
      <c r="Z120" s="301"/>
    </row>
    <row r="121" spans="1:27" s="46" customFormat="1" ht="21" customHeight="1">
      <c r="A121" s="226" t="s">
        <v>147</v>
      </c>
      <c r="B121" s="226">
        <v>33</v>
      </c>
      <c r="C121" s="550">
        <v>34</v>
      </c>
      <c r="D121" s="551">
        <v>46</v>
      </c>
      <c r="E121" s="551">
        <v>11</v>
      </c>
      <c r="F121" s="551"/>
      <c r="G121" s="549">
        <f t="shared" si="35"/>
        <v>124</v>
      </c>
      <c r="H121" s="133"/>
      <c r="I121" s="133"/>
      <c r="J121" s="133">
        <f t="shared" si="36"/>
        <v>91</v>
      </c>
      <c r="K121" s="133"/>
      <c r="L121" s="133"/>
      <c r="M121" s="132">
        <f>G121+G128</f>
        <v>180</v>
      </c>
      <c r="N121" s="133">
        <f>G121+G128</f>
        <v>180</v>
      </c>
      <c r="O121" s="133"/>
      <c r="P121" s="133"/>
      <c r="Q121" s="133"/>
      <c r="R121" s="133"/>
      <c r="S121" s="133"/>
      <c r="T121" s="133"/>
      <c r="U121" s="133"/>
      <c r="V121" s="470">
        <v>49</v>
      </c>
      <c r="W121" s="310">
        <v>56</v>
      </c>
      <c r="X121" s="310">
        <v>36</v>
      </c>
      <c r="Y121" s="310">
        <v>60</v>
      </c>
      <c r="Z121" s="310">
        <v>7</v>
      </c>
      <c r="AA121" s="310"/>
    </row>
    <row r="122" spans="1:27" s="46" customFormat="1" ht="21" customHeight="1">
      <c r="A122" s="226" t="s">
        <v>148</v>
      </c>
      <c r="B122" s="226">
        <v>53</v>
      </c>
      <c r="C122" s="577">
        <v>30</v>
      </c>
      <c r="D122" s="551"/>
      <c r="E122" s="551">
        <v>3</v>
      </c>
      <c r="F122" s="551"/>
      <c r="G122" s="549">
        <f t="shared" si="35"/>
        <v>86</v>
      </c>
      <c r="H122" s="133"/>
      <c r="I122" s="133"/>
      <c r="J122" s="133">
        <f t="shared" si="36"/>
        <v>33</v>
      </c>
      <c r="K122" s="133">
        <f>83+38</f>
        <v>121</v>
      </c>
      <c r="L122" s="133"/>
      <c r="M122" s="132"/>
      <c r="N122" s="133"/>
      <c r="O122" s="133"/>
      <c r="P122" s="133"/>
      <c r="Q122" s="133"/>
      <c r="R122" s="133"/>
      <c r="S122" s="133"/>
      <c r="T122" s="133"/>
      <c r="U122" s="133"/>
      <c r="V122" s="470"/>
      <c r="W122" s="310">
        <v>31</v>
      </c>
      <c r="X122" s="310"/>
      <c r="Y122" s="310"/>
      <c r="Z122" s="310"/>
      <c r="AA122" s="310"/>
    </row>
    <row r="123" spans="1:27" s="46" customFormat="1" ht="21" customHeight="1">
      <c r="A123" s="226" t="s">
        <v>149</v>
      </c>
      <c r="B123" s="226">
        <v>86</v>
      </c>
      <c r="C123" s="550">
        <f>37+7</f>
        <v>44</v>
      </c>
      <c r="D123" s="551">
        <v>72</v>
      </c>
      <c r="E123" s="551">
        <v>7</v>
      </c>
      <c r="F123" s="551"/>
      <c r="G123" s="549">
        <f t="shared" si="35"/>
        <v>209</v>
      </c>
      <c r="H123" s="133"/>
      <c r="I123" s="133"/>
      <c r="J123" s="133">
        <f t="shared" si="36"/>
        <v>123</v>
      </c>
      <c r="K123" s="133"/>
      <c r="L123" s="133"/>
      <c r="M123" s="132">
        <f>G123+G127</f>
        <v>303</v>
      </c>
      <c r="N123" s="133">
        <f>B123+B127</f>
        <v>149</v>
      </c>
      <c r="O123" s="133"/>
      <c r="P123" s="133"/>
      <c r="Q123" s="133"/>
      <c r="R123" s="133"/>
      <c r="S123" s="133"/>
      <c r="T123" s="133"/>
      <c r="U123" s="133"/>
      <c r="V123" s="470">
        <v>116</v>
      </c>
      <c r="W123" s="310">
        <v>51</v>
      </c>
      <c r="X123" s="310"/>
      <c r="Y123" s="310"/>
      <c r="Z123" s="310"/>
      <c r="AA123" s="310"/>
    </row>
    <row r="124" spans="1:27" s="46" customFormat="1" ht="21" customHeight="1">
      <c r="A124" s="226" t="s">
        <v>150</v>
      </c>
      <c r="B124" s="226">
        <v>68</v>
      </c>
      <c r="C124" s="550">
        <v>34</v>
      </c>
      <c r="D124" s="551">
        <v>32</v>
      </c>
      <c r="E124" s="551">
        <v>9</v>
      </c>
      <c r="F124" s="551">
        <v>1</v>
      </c>
      <c r="G124" s="551">
        <f t="shared" si="35"/>
        <v>144</v>
      </c>
      <c r="H124" s="133"/>
      <c r="I124" s="133"/>
      <c r="J124" s="133">
        <f t="shared" si="36"/>
        <v>76</v>
      </c>
      <c r="K124" s="133"/>
      <c r="L124" s="133"/>
      <c r="M124" s="132">
        <f>B123+B127</f>
        <v>149</v>
      </c>
      <c r="N124" s="133">
        <f>C123+C127</f>
        <v>75</v>
      </c>
      <c r="O124" s="133"/>
      <c r="P124" s="133"/>
      <c r="Q124" s="133"/>
      <c r="R124" s="133"/>
      <c r="S124" s="133"/>
      <c r="T124" s="133"/>
      <c r="U124" s="133"/>
      <c r="V124" s="470">
        <v>42</v>
      </c>
      <c r="W124" s="310">
        <v>40</v>
      </c>
      <c r="X124" s="310">
        <v>77</v>
      </c>
      <c r="Y124" s="310">
        <v>61</v>
      </c>
      <c r="Z124" s="310">
        <v>5</v>
      </c>
      <c r="AA124" s="310"/>
    </row>
    <row r="125" spans="1:27" ht="21" customHeight="1">
      <c r="A125" s="267" t="s">
        <v>151</v>
      </c>
      <c r="B125" s="488">
        <f t="shared" ref="B125:G125" si="37">SUM(B114:B124)</f>
        <v>665</v>
      </c>
      <c r="C125" s="488">
        <f t="shared" si="37"/>
        <v>496</v>
      </c>
      <c r="D125" s="488">
        <f t="shared" si="37"/>
        <v>504</v>
      </c>
      <c r="E125" s="488">
        <f t="shared" si="37"/>
        <v>76</v>
      </c>
      <c r="F125" s="488">
        <f t="shared" si="37"/>
        <v>12</v>
      </c>
      <c r="G125" s="488">
        <f t="shared" si="37"/>
        <v>1753</v>
      </c>
      <c r="H125" s="140"/>
      <c r="I125" s="140"/>
      <c r="J125" s="140"/>
      <c r="K125" s="140"/>
      <c r="L125" s="140"/>
      <c r="M125" s="139">
        <f>C123+C127</f>
        <v>75</v>
      </c>
      <c r="N125" s="140"/>
      <c r="O125" s="140"/>
      <c r="P125" s="140"/>
      <c r="Q125" s="140"/>
      <c r="R125" s="140"/>
      <c r="S125" s="140"/>
      <c r="T125" s="140"/>
      <c r="U125" s="140"/>
      <c r="V125" s="301">
        <f>SUM(V114:V124)</f>
        <v>723</v>
      </c>
      <c r="W125" s="301">
        <f>SUM(W114:W124)</f>
        <v>498</v>
      </c>
      <c r="X125" s="301">
        <f>SUM(X114:X124)</f>
        <v>386</v>
      </c>
      <c r="Y125" s="301">
        <f>SUM(Y114:Y124)</f>
        <v>341</v>
      </c>
      <c r="Z125" s="301">
        <f>SUM(Z114:Z124)</f>
        <v>42</v>
      </c>
    </row>
    <row r="126" spans="1:27" ht="21" customHeight="1">
      <c r="A126" s="67" t="s">
        <v>152</v>
      </c>
      <c r="B126" s="67"/>
      <c r="C126" s="554"/>
      <c r="D126" s="439"/>
      <c r="E126" s="439"/>
      <c r="F126" s="439"/>
      <c r="G126" s="439">
        <f>SUM(B126:F126)</f>
        <v>0</v>
      </c>
      <c r="H126" s="131"/>
      <c r="I126" s="131"/>
      <c r="J126" s="131">
        <f>SUM(C126:F126)</f>
        <v>0</v>
      </c>
      <c r="K126" s="131"/>
      <c r="L126" s="131"/>
      <c r="M126" s="130"/>
      <c r="N126" s="131">
        <f>B124+B130</f>
        <v>125</v>
      </c>
      <c r="O126" s="131">
        <f>C130+C124</f>
        <v>79</v>
      </c>
      <c r="P126" s="131"/>
      <c r="Q126" s="131"/>
      <c r="R126" s="131"/>
      <c r="S126" s="131"/>
      <c r="T126" s="131"/>
      <c r="U126" s="131"/>
      <c r="V126" s="306">
        <v>24</v>
      </c>
      <c r="W126" s="301">
        <v>44</v>
      </c>
      <c r="X126" s="301">
        <v>12</v>
      </c>
      <c r="Y126" s="301"/>
      <c r="Z126" s="301"/>
    </row>
    <row r="127" spans="1:27" s="46" customFormat="1" ht="21" customHeight="1">
      <c r="A127" s="226" t="s">
        <v>153</v>
      </c>
      <c r="B127" s="226">
        <v>63</v>
      </c>
      <c r="C127" s="550">
        <v>31</v>
      </c>
      <c r="D127" s="551"/>
      <c r="E127" s="551"/>
      <c r="F127" s="551"/>
      <c r="G127" s="551">
        <f>SUM(B127:F127)</f>
        <v>94</v>
      </c>
      <c r="H127" s="133"/>
      <c r="I127" s="133"/>
      <c r="J127" s="133">
        <f>SUM(C127:F127)</f>
        <v>31</v>
      </c>
      <c r="K127" s="133"/>
      <c r="L127" s="133"/>
      <c r="M127" s="714">
        <f>G124+G130</f>
        <v>246</v>
      </c>
      <c r="N127" s="133"/>
      <c r="O127" s="133"/>
      <c r="P127" s="133"/>
      <c r="Q127" s="133"/>
      <c r="R127" s="133"/>
      <c r="S127" s="133"/>
      <c r="T127" s="133"/>
      <c r="U127" s="133"/>
      <c r="V127" s="470">
        <v>59</v>
      </c>
      <c r="W127" s="310">
        <v>51</v>
      </c>
      <c r="X127" s="310"/>
      <c r="Y127" s="310"/>
      <c r="Z127" s="310"/>
    </row>
    <row r="128" spans="1:27" s="46" customFormat="1" ht="21" customHeight="1">
      <c r="A128" s="226" t="s">
        <v>154</v>
      </c>
      <c r="B128" s="226">
        <v>35</v>
      </c>
      <c r="C128" s="550">
        <v>30</v>
      </c>
      <c r="D128" s="551"/>
      <c r="E128" s="551"/>
      <c r="F128" s="551"/>
      <c r="G128" s="551">
        <f>SUM(B128:F128)-9</f>
        <v>56</v>
      </c>
      <c r="H128" s="133"/>
      <c r="I128" s="133"/>
      <c r="J128" s="133">
        <f>SUM(C128:F128)</f>
        <v>30</v>
      </c>
      <c r="K128" s="133"/>
      <c r="L128" s="133"/>
      <c r="M128" s="132">
        <f>G123+G127</f>
        <v>303</v>
      </c>
      <c r="N128" s="133">
        <f>57+68</f>
        <v>125</v>
      </c>
      <c r="O128" s="133"/>
      <c r="P128" s="133"/>
      <c r="Q128" s="133"/>
      <c r="R128" s="133"/>
      <c r="S128" s="133"/>
      <c r="T128" s="133"/>
      <c r="U128" s="133"/>
      <c r="V128" s="470">
        <v>82</v>
      </c>
      <c r="W128" s="310">
        <v>90</v>
      </c>
      <c r="X128" s="310">
        <v>7</v>
      </c>
      <c r="Y128" s="310"/>
      <c r="Z128" s="310">
        <v>1</v>
      </c>
    </row>
    <row r="129" spans="1:26" ht="21" hidden="1" customHeight="1">
      <c r="A129" s="71" t="s">
        <v>155</v>
      </c>
      <c r="B129" s="71"/>
      <c r="C129" s="553"/>
      <c r="D129" s="434"/>
      <c r="E129" s="434"/>
      <c r="F129" s="434"/>
      <c r="G129" s="434">
        <f>SUM(C129:F129)</f>
        <v>0</v>
      </c>
      <c r="H129" s="131"/>
      <c r="I129" s="131"/>
      <c r="J129" s="131">
        <f>SUM(C129:F129)</f>
        <v>0</v>
      </c>
      <c r="K129" s="131"/>
      <c r="L129" s="131"/>
      <c r="M129" s="130"/>
      <c r="N129" s="131"/>
      <c r="O129" s="131"/>
      <c r="P129" s="131"/>
      <c r="Q129" s="131"/>
      <c r="R129" s="131"/>
      <c r="S129" s="131"/>
      <c r="T129" s="131"/>
      <c r="U129" s="131"/>
      <c r="V129" s="306">
        <v>82</v>
      </c>
      <c r="W129" s="301">
        <v>90</v>
      </c>
      <c r="X129" s="301">
        <v>7</v>
      </c>
      <c r="Y129" s="301"/>
      <c r="Z129" s="301">
        <v>1</v>
      </c>
    </row>
    <row r="130" spans="1:26" s="46" customFormat="1" ht="21" customHeight="1">
      <c r="A130" s="571" t="s">
        <v>156</v>
      </c>
      <c r="B130" s="571">
        <v>57</v>
      </c>
      <c r="C130" s="572">
        <v>45</v>
      </c>
      <c r="D130" s="573"/>
      <c r="E130" s="573"/>
      <c r="F130" s="573"/>
      <c r="G130" s="551">
        <f>SUM(B130:F130)</f>
        <v>102</v>
      </c>
      <c r="H130" s="133"/>
      <c r="I130" s="133"/>
      <c r="J130" s="133">
        <f>SUM(C130:F130)</f>
        <v>45</v>
      </c>
      <c r="K130" s="133"/>
      <c r="L130" s="133"/>
      <c r="M130" s="132">
        <f>G130+G124</f>
        <v>246</v>
      </c>
      <c r="N130" s="133"/>
      <c r="O130" s="133">
        <f>87+63</f>
        <v>150</v>
      </c>
      <c r="P130" s="133">
        <f>37+38</f>
        <v>75</v>
      </c>
      <c r="Q130" s="133"/>
      <c r="R130" s="133"/>
      <c r="S130" s="133"/>
      <c r="T130" s="133"/>
      <c r="U130" s="133"/>
      <c r="V130" s="470">
        <v>57</v>
      </c>
      <c r="W130" s="310">
        <v>68</v>
      </c>
      <c r="X130" s="310">
        <v>35</v>
      </c>
      <c r="Y130" s="310"/>
      <c r="Z130" s="310"/>
    </row>
    <row r="131" spans="1:26" ht="21" customHeight="1">
      <c r="A131" s="60" t="s">
        <v>157</v>
      </c>
      <c r="B131" s="49">
        <f t="shared" ref="B131:G131" si="38">SUM(B126:B130)</f>
        <v>155</v>
      </c>
      <c r="C131" s="49">
        <f t="shared" si="38"/>
        <v>106</v>
      </c>
      <c r="D131" s="49">
        <f t="shared" si="38"/>
        <v>0</v>
      </c>
      <c r="E131" s="49">
        <f t="shared" si="38"/>
        <v>0</v>
      </c>
      <c r="F131" s="49">
        <f t="shared" si="38"/>
        <v>0</v>
      </c>
      <c r="G131" s="49">
        <f t="shared" si="38"/>
        <v>252</v>
      </c>
      <c r="H131" s="135"/>
      <c r="I131" s="135"/>
      <c r="J131" s="135"/>
      <c r="K131" s="135"/>
      <c r="L131" s="135"/>
      <c r="M131" s="134"/>
      <c r="N131" s="135">
        <f>34+46</f>
        <v>80</v>
      </c>
      <c r="O131" s="135"/>
      <c r="P131" s="135"/>
      <c r="Q131" s="135"/>
      <c r="R131" s="135"/>
      <c r="S131" s="135"/>
      <c r="T131" s="135"/>
      <c r="U131" s="135"/>
      <c r="V131" s="518">
        <f>SUM(V126:V130)</f>
        <v>304</v>
      </c>
      <c r="W131" s="301">
        <f>SUM(W126:W130)</f>
        <v>343</v>
      </c>
      <c r="X131" s="301">
        <f>SUM(X126:X130)</f>
        <v>61</v>
      </c>
      <c r="Z131" s="301">
        <f>SUM(Z126:Z130)</f>
        <v>2</v>
      </c>
    </row>
    <row r="132" spans="1:26" ht="21" customHeight="1">
      <c r="A132" s="67" t="s">
        <v>14</v>
      </c>
      <c r="B132" s="67"/>
      <c r="C132" s="554"/>
      <c r="D132" s="439"/>
      <c r="E132" s="439"/>
      <c r="F132" s="439"/>
      <c r="G132" s="439"/>
      <c r="H132" s="131"/>
      <c r="I132" s="131"/>
      <c r="J132" s="131"/>
      <c r="K132" s="131"/>
      <c r="L132" s="131"/>
      <c r="M132" s="130"/>
      <c r="N132" s="131"/>
      <c r="O132" s="131"/>
      <c r="P132" s="131"/>
      <c r="Q132" s="131"/>
      <c r="R132" s="131"/>
      <c r="S132" s="131"/>
      <c r="T132" s="131"/>
      <c r="U132" s="131"/>
      <c r="V132" s="321"/>
    </row>
    <row r="133" spans="1:26" ht="21" customHeight="1">
      <c r="A133" s="71" t="s">
        <v>158</v>
      </c>
      <c r="B133" s="71"/>
      <c r="C133" s="553"/>
      <c r="D133" s="434"/>
      <c r="E133" s="434"/>
      <c r="F133" s="434"/>
      <c r="G133" s="434">
        <f>SUM(B133:F133)</f>
        <v>0</v>
      </c>
      <c r="H133" s="131"/>
      <c r="I133" s="131"/>
      <c r="J133" s="131"/>
      <c r="K133" s="131"/>
      <c r="L133" s="131"/>
      <c r="M133" s="130"/>
      <c r="N133" s="131"/>
      <c r="O133" s="131"/>
      <c r="P133" s="131"/>
      <c r="Q133" s="131"/>
      <c r="R133" s="131"/>
      <c r="S133" s="131"/>
      <c r="T133" s="131"/>
      <c r="U133" s="131"/>
    </row>
    <row r="134" spans="1:26" ht="21" customHeight="1">
      <c r="A134" s="69"/>
      <c r="B134" s="69"/>
      <c r="C134" s="569"/>
      <c r="D134" s="497"/>
      <c r="E134" s="497"/>
      <c r="F134" s="497"/>
      <c r="G134" s="497"/>
      <c r="H134" s="131"/>
      <c r="I134" s="131"/>
      <c r="J134" s="131"/>
      <c r="K134" s="131"/>
      <c r="L134" s="131"/>
      <c r="M134" s="130"/>
      <c r="N134" s="131"/>
      <c r="O134" s="131"/>
      <c r="P134" s="131"/>
      <c r="Q134" s="131"/>
      <c r="R134" s="131"/>
      <c r="S134" s="131"/>
      <c r="T134" s="131"/>
      <c r="U134" s="131"/>
    </row>
    <row r="135" spans="1:26" ht="21" customHeight="1">
      <c r="A135" s="60" t="s">
        <v>6</v>
      </c>
      <c r="B135" s="49">
        <f t="shared" ref="B135:G135" si="39">SUM(B133:B134)</f>
        <v>0</v>
      </c>
      <c r="C135" s="49">
        <f t="shared" si="39"/>
        <v>0</v>
      </c>
      <c r="D135" s="49">
        <f t="shared" si="39"/>
        <v>0</v>
      </c>
      <c r="E135" s="49">
        <f t="shared" si="39"/>
        <v>0</v>
      </c>
      <c r="F135" s="49">
        <f t="shared" si="39"/>
        <v>0</v>
      </c>
      <c r="G135" s="49">
        <f t="shared" si="39"/>
        <v>0</v>
      </c>
      <c r="H135" s="135"/>
      <c r="I135" s="135"/>
      <c r="J135" s="135"/>
      <c r="K135" s="135"/>
      <c r="L135" s="135"/>
      <c r="M135" s="134"/>
      <c r="N135" s="135"/>
      <c r="O135" s="135"/>
      <c r="P135" s="135"/>
      <c r="Q135" s="135"/>
      <c r="R135" s="135"/>
      <c r="S135" s="135"/>
      <c r="T135" s="135"/>
      <c r="U135" s="135"/>
    </row>
    <row r="136" spans="1:26" ht="21" customHeight="1">
      <c r="A136" s="75" t="s">
        <v>159</v>
      </c>
      <c r="B136" s="511">
        <f t="shared" ref="B136:G136" si="40">SUM(B5,B30,B51,B79,B99,B113)</f>
        <v>3075</v>
      </c>
      <c r="C136" s="511">
        <f t="shared" si="40"/>
        <v>2507</v>
      </c>
      <c r="D136" s="511">
        <f t="shared" si="40"/>
        <v>2116</v>
      </c>
      <c r="E136" s="511">
        <f t="shared" si="40"/>
        <v>1617</v>
      </c>
      <c r="F136" s="511">
        <f t="shared" si="40"/>
        <v>158</v>
      </c>
      <c r="G136" s="511">
        <f t="shared" si="40"/>
        <v>9464</v>
      </c>
      <c r="H136" s="140"/>
      <c r="I136" s="140"/>
      <c r="J136" s="140"/>
      <c r="K136" s="140">
        <f>8241+2932+46</f>
        <v>11219</v>
      </c>
      <c r="L136" s="140"/>
      <c r="M136" s="139"/>
      <c r="N136" s="140"/>
      <c r="O136" s="140"/>
      <c r="P136" s="140"/>
      <c r="Q136" s="140"/>
      <c r="R136" s="140"/>
      <c r="S136" s="140"/>
      <c r="T136" s="140"/>
      <c r="U136" s="140"/>
      <c r="X136" s="301">
        <f>SUM(X5:X135)</f>
        <v>11272</v>
      </c>
    </row>
    <row r="137" spans="1:26" ht="21" hidden="1" customHeight="1">
      <c r="D137" s="106">
        <f>3685</f>
        <v>3685</v>
      </c>
      <c r="E137" s="106">
        <v>3141</v>
      </c>
      <c r="F137" s="106">
        <v>2290</v>
      </c>
    </row>
    <row r="138" spans="1:26" ht="21" hidden="1" customHeight="1">
      <c r="D138" s="106">
        <f>6+5</f>
        <v>11</v>
      </c>
      <c r="E138" s="106">
        <f>19+9+4</f>
        <v>32</v>
      </c>
      <c r="F138" s="106">
        <f>3+3+8</f>
        <v>14</v>
      </c>
    </row>
    <row r="139" spans="1:26" ht="21" hidden="1" customHeight="1">
      <c r="D139" s="106">
        <f>SUM(D137:D138)</f>
        <v>3696</v>
      </c>
      <c r="E139" s="106">
        <f>SUM(E137:E138)</f>
        <v>3173</v>
      </c>
      <c r="F139" s="106">
        <f>SUM(F137:F138)</f>
        <v>2304</v>
      </c>
      <c r="G139" s="106">
        <f>SUM(G137:G138)</f>
        <v>0</v>
      </c>
    </row>
    <row r="140" spans="1:26" ht="21" hidden="1" customHeight="1">
      <c r="D140" s="763" t="s">
        <v>36</v>
      </c>
      <c r="E140" s="763" t="s">
        <v>37</v>
      </c>
      <c r="F140" s="763" t="s">
        <v>160</v>
      </c>
    </row>
    <row r="141" spans="1:26" ht="21" hidden="1" customHeight="1">
      <c r="A141" s="320" t="s">
        <v>24</v>
      </c>
      <c r="B141" s="320"/>
      <c r="D141" s="106">
        <f>D136-(6+5)</f>
        <v>2105</v>
      </c>
    </row>
    <row r="142" spans="1:26" ht="21" hidden="1" customHeight="1">
      <c r="A142" s="320" t="s">
        <v>25</v>
      </c>
      <c r="B142" s="320"/>
      <c r="D142" s="106">
        <f>D23+D50+D78</f>
        <v>0</v>
      </c>
      <c r="E142" s="106">
        <f>E23+E50+E78</f>
        <v>6</v>
      </c>
      <c r="F142" s="106">
        <f>F23+F50+F78</f>
        <v>0</v>
      </c>
    </row>
    <row r="143" spans="1:26" ht="21" hidden="1" customHeight="1">
      <c r="A143" s="320" t="s">
        <v>44</v>
      </c>
      <c r="B143" s="320"/>
      <c r="D143" s="106">
        <f>D29</f>
        <v>5</v>
      </c>
    </row>
    <row r="145" spans="1:14" ht="21" customHeight="1">
      <c r="A145" s="690" t="s">
        <v>161</v>
      </c>
      <c r="B145" s="717"/>
      <c r="C145" s="718" t="s">
        <v>162</v>
      </c>
      <c r="D145" s="144" t="s">
        <v>163</v>
      </c>
      <c r="E145" s="144" t="s">
        <v>164</v>
      </c>
      <c r="F145" s="144" t="s">
        <v>6</v>
      </c>
      <c r="G145" s="699"/>
    </row>
    <row r="146" spans="1:14" ht="21" customHeight="1">
      <c r="A146" s="700" t="s">
        <v>165</v>
      </c>
      <c r="B146" s="86"/>
      <c r="C146" s="701"/>
      <c r="D146" s="113">
        <f>G20</f>
        <v>2933</v>
      </c>
      <c r="E146" s="113"/>
      <c r="F146" s="113">
        <f>SUM(D146:E146)</f>
        <v>2933</v>
      </c>
      <c r="G146" s="702">
        <f>F146+F147+F148</f>
        <v>9409</v>
      </c>
      <c r="H146" s="719"/>
      <c r="I146" s="719"/>
      <c r="J146" s="719"/>
      <c r="K146" s="719" t="e">
        <f>C136+D136+E136+F136+#REF!</f>
        <v>#REF!</v>
      </c>
      <c r="L146" s="719">
        <v>10890</v>
      </c>
    </row>
    <row r="147" spans="1:14" ht="21" customHeight="1">
      <c r="A147" s="700" t="s">
        <v>166</v>
      </c>
      <c r="B147" s="86"/>
      <c r="C147" s="701"/>
      <c r="D147" s="113">
        <f>G112+G125</f>
        <v>3274</v>
      </c>
      <c r="E147" s="113">
        <f>G42+G63+G79</f>
        <v>2806</v>
      </c>
      <c r="F147" s="113">
        <f>SUM(D147:E147)</f>
        <v>6080</v>
      </c>
      <c r="G147" s="702"/>
      <c r="H147" s="719"/>
      <c r="I147" s="719"/>
      <c r="J147" s="719"/>
      <c r="K147" s="719">
        <f>F149+F150</f>
        <v>55</v>
      </c>
      <c r="L147" s="719">
        <f>G146-L146</f>
        <v>-1481</v>
      </c>
      <c r="M147" s="721"/>
    </row>
    <row r="148" spans="1:14" ht="21" customHeight="1">
      <c r="A148" s="700" t="s">
        <v>167</v>
      </c>
      <c r="B148" s="86"/>
      <c r="C148" s="701"/>
      <c r="D148" s="113">
        <f>G131</f>
        <v>252</v>
      </c>
      <c r="E148" s="113">
        <f>G74</f>
        <v>144</v>
      </c>
      <c r="F148" s="113">
        <f>SUM(D148:E148)</f>
        <v>396</v>
      </c>
      <c r="G148" s="702"/>
      <c r="K148" s="106" t="e">
        <f>K146-K147</f>
        <v>#REF!</v>
      </c>
      <c r="L148" s="719">
        <v>11107</v>
      </c>
      <c r="M148" s="721"/>
    </row>
    <row r="149" spans="1:14" ht="21" customHeight="1">
      <c r="A149" s="700" t="s">
        <v>168</v>
      </c>
      <c r="B149" s="86"/>
      <c r="C149" s="701"/>
      <c r="D149" s="113">
        <f>G135</f>
        <v>0</v>
      </c>
      <c r="E149" s="113">
        <f>G47+G78</f>
        <v>18</v>
      </c>
      <c r="F149" s="113">
        <f>SUM(D149:E149)</f>
        <v>18</v>
      </c>
      <c r="G149" s="702">
        <f>F149</f>
        <v>18</v>
      </c>
      <c r="L149" s="719">
        <v>10890</v>
      </c>
      <c r="M149" s="721"/>
    </row>
    <row r="150" spans="1:14" ht="21" customHeight="1">
      <c r="A150" s="700" t="s">
        <v>169</v>
      </c>
      <c r="B150" s="86"/>
      <c r="C150" s="701"/>
      <c r="D150" s="113">
        <f>G29</f>
        <v>30</v>
      </c>
      <c r="E150" s="113">
        <f>G50</f>
        <v>7</v>
      </c>
      <c r="F150" s="113">
        <f>SUM(D150:E150)</f>
        <v>37</v>
      </c>
      <c r="G150" s="702">
        <f>F150</f>
        <v>37</v>
      </c>
    </row>
    <row r="151" spans="1:14" ht="21" customHeight="1">
      <c r="A151" s="720"/>
      <c r="B151" s="704"/>
      <c r="C151" s="705"/>
      <c r="D151" s="144">
        <f>SUM(D146:D150)</f>
        <v>6489</v>
      </c>
      <c r="E151" s="144">
        <f>SUM(E146:E150)</f>
        <v>2975</v>
      </c>
      <c r="F151" s="802">
        <f>D151+E151</f>
        <v>9464</v>
      </c>
      <c r="G151" s="802"/>
      <c r="K151" s="106">
        <f>8241</f>
        <v>8241</v>
      </c>
    </row>
    <row r="152" spans="1:14" ht="21" customHeight="1">
      <c r="K152" s="106">
        <v>2932</v>
      </c>
    </row>
    <row r="153" spans="1:14" ht="21" customHeight="1">
      <c r="K153" s="106">
        <v>46</v>
      </c>
      <c r="N153" s="106">
        <f>18+35</f>
        <v>53</v>
      </c>
    </row>
    <row r="154" spans="1:14" ht="21" customHeight="1">
      <c r="K154" s="106">
        <f>SUM(K151:K153)</f>
        <v>11219</v>
      </c>
    </row>
    <row r="155" spans="1:14" ht="21" customHeight="1">
      <c r="K155" s="106">
        <f>K154-G136</f>
        <v>1755</v>
      </c>
    </row>
  </sheetData>
  <mergeCells count="14">
    <mergeCell ref="N15:P15"/>
    <mergeCell ref="M16:S16"/>
    <mergeCell ref="N17:R17"/>
    <mergeCell ref="F151:G151"/>
    <mergeCell ref="A3:A4"/>
    <mergeCell ref="M4:M5"/>
    <mergeCell ref="M17:M18"/>
    <mergeCell ref="S4:S5"/>
    <mergeCell ref="S17:S18"/>
    <mergeCell ref="A1:G1"/>
    <mergeCell ref="A2:G2"/>
    <mergeCell ref="M2:S2"/>
    <mergeCell ref="B3:G3"/>
    <mergeCell ref="N4:R4"/>
  </mergeCells>
  <printOptions horizontalCentered="1"/>
  <pageMargins left="0.47244094488188998" right="0.59055118110236204" top="0.66929133858267698" bottom="0.43307086614173201" header="0.78740157480314998" footer="0.196850393700787"/>
  <pageSetup paperSize="9" scale="95" orientation="portrait"/>
  <headerFooter alignWithMargins="0">
    <oddFooter>&amp;L&amp;P&amp;R&amp;F</oddFooter>
  </headerFooter>
  <rowBreaks count="2" manualBreakCount="2">
    <brk id="42" max="18" man="1"/>
    <brk id="63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workbookViewId="0">
      <selection activeCell="B40" sqref="B40"/>
    </sheetView>
  </sheetViews>
  <sheetFormatPr defaultColWidth="9.140625" defaultRowHeight="21"/>
  <cols>
    <col min="1" max="1" width="47.7109375" style="3" customWidth="1"/>
    <col min="2" max="7" width="8.42578125" style="4" customWidth="1"/>
    <col min="8" max="8" width="8.42578125" style="3" customWidth="1"/>
    <col min="9" max="16384" width="9.140625" style="3"/>
  </cols>
  <sheetData>
    <row r="1" spans="1:10" ht="26.25">
      <c r="A1" s="934" t="s">
        <v>408</v>
      </c>
      <c r="B1" s="934"/>
      <c r="C1" s="934"/>
      <c r="D1" s="934"/>
      <c r="E1" s="934"/>
      <c r="F1" s="934"/>
      <c r="G1" s="934"/>
      <c r="H1" s="934"/>
      <c r="I1" s="934"/>
    </row>
    <row r="2" spans="1:10" ht="23.25">
      <c r="A2" s="926" t="s">
        <v>409</v>
      </c>
      <c r="B2" s="926"/>
      <c r="C2" s="926"/>
      <c r="D2" s="926"/>
      <c r="E2" s="926"/>
      <c r="F2" s="926"/>
      <c r="G2" s="926"/>
      <c r="H2" s="926"/>
      <c r="I2" s="926"/>
    </row>
    <row r="3" spans="1:10" ht="23.25">
      <c r="A3" s="5"/>
    </row>
    <row r="4" spans="1:10" ht="23.25">
      <c r="A4" s="5" t="s">
        <v>410</v>
      </c>
    </row>
    <row r="5" spans="1:10" ht="9.9499999999999993" customHeight="1">
      <c r="A5" s="5"/>
    </row>
    <row r="6" spans="1:10" s="1" customFormat="1" ht="23.25" customHeight="1">
      <c r="A6" s="936" t="s">
        <v>411</v>
      </c>
      <c r="B6" s="935" t="s">
        <v>367</v>
      </c>
      <c r="C6" s="935"/>
      <c r="D6" s="935" t="s">
        <v>368</v>
      </c>
      <c r="E6" s="935"/>
      <c r="F6" s="935" t="s">
        <v>369</v>
      </c>
      <c r="G6" s="935"/>
      <c r="H6" s="935" t="s">
        <v>6</v>
      </c>
      <c r="I6" s="935"/>
    </row>
    <row r="7" spans="1:10" s="1" customFormat="1" ht="23.25" customHeight="1">
      <c r="A7" s="936"/>
      <c r="B7" s="6" t="s">
        <v>178</v>
      </c>
      <c r="C7" s="6" t="s">
        <v>179</v>
      </c>
      <c r="D7" s="6" t="s">
        <v>178</v>
      </c>
      <c r="E7" s="6" t="s">
        <v>179</v>
      </c>
      <c r="F7" s="6" t="s">
        <v>178</v>
      </c>
      <c r="G7" s="6" t="s">
        <v>179</v>
      </c>
      <c r="H7" s="6" t="s">
        <v>178</v>
      </c>
      <c r="I7" s="6" t="s">
        <v>179</v>
      </c>
    </row>
    <row r="8" spans="1:10">
      <c r="A8" s="7" t="s">
        <v>412</v>
      </c>
      <c r="B8" s="8">
        <v>25</v>
      </c>
      <c r="C8" s="8"/>
      <c r="D8" s="8">
        <v>27</v>
      </c>
      <c r="E8" s="8"/>
      <c r="F8" s="8">
        <v>25</v>
      </c>
      <c r="G8" s="8"/>
      <c r="H8" s="7"/>
      <c r="I8" s="7">
        <f>SUM(B8:H8)</f>
        <v>77</v>
      </c>
    </row>
    <row r="9" spans="1:10" ht="23.25">
      <c r="A9" s="5"/>
    </row>
    <row r="10" spans="1:10" ht="23.25">
      <c r="A10" s="5" t="s">
        <v>413</v>
      </c>
    </row>
    <row r="11" spans="1:10" ht="9.9499999999999993" customHeight="1">
      <c r="A11" s="5"/>
    </row>
    <row r="12" spans="1:10" s="1" customFormat="1" ht="23.25" customHeight="1">
      <c r="A12" s="936" t="s">
        <v>411</v>
      </c>
      <c r="B12" s="935" t="s">
        <v>414</v>
      </c>
      <c r="C12" s="935"/>
      <c r="D12" s="935" t="s">
        <v>415</v>
      </c>
      <c r="E12" s="935"/>
      <c r="F12" s="935" t="s">
        <v>416</v>
      </c>
      <c r="G12" s="935"/>
      <c r="H12" s="935" t="s">
        <v>6</v>
      </c>
      <c r="I12" s="935"/>
    </row>
    <row r="13" spans="1:10" s="1" customFormat="1" ht="23.25" customHeight="1">
      <c r="A13" s="936"/>
      <c r="B13" s="6" t="s">
        <v>178</v>
      </c>
      <c r="C13" s="6" t="s">
        <v>179</v>
      </c>
      <c r="D13" s="6" t="s">
        <v>178</v>
      </c>
      <c r="E13" s="6" t="s">
        <v>179</v>
      </c>
      <c r="F13" s="6" t="s">
        <v>178</v>
      </c>
      <c r="G13" s="6" t="s">
        <v>179</v>
      </c>
      <c r="H13" s="6" t="s">
        <v>178</v>
      </c>
      <c r="I13" s="6" t="s">
        <v>179</v>
      </c>
    </row>
    <row r="14" spans="1:10">
      <c r="A14" s="7" t="s">
        <v>412</v>
      </c>
      <c r="B14" s="8">
        <v>26</v>
      </c>
      <c r="C14" s="8"/>
      <c r="D14" s="8">
        <v>23</v>
      </c>
      <c r="E14" s="8"/>
      <c r="F14" s="8">
        <v>23</v>
      </c>
      <c r="G14" s="8"/>
      <c r="H14" s="7"/>
      <c r="I14" s="7">
        <f>SUM(B14:H14)</f>
        <v>72</v>
      </c>
      <c r="J14" s="3">
        <f>I8+I14</f>
        <v>149</v>
      </c>
    </row>
    <row r="15" spans="1:10" ht="23.25">
      <c r="A15" s="5"/>
    </row>
    <row r="16" spans="1:10" s="2" customFormat="1">
      <c r="A16" s="2" t="s">
        <v>417</v>
      </c>
      <c r="B16" s="9"/>
      <c r="C16" s="9"/>
      <c r="D16" s="9"/>
      <c r="E16" s="9"/>
      <c r="F16" s="9"/>
      <c r="G16" s="9"/>
    </row>
    <row r="17" spans="1:8" ht="9.9499999999999993" customHeight="1"/>
    <row r="18" spans="1:8" s="2" customFormat="1">
      <c r="A18" s="907" t="s">
        <v>38</v>
      </c>
      <c r="B18" s="906" t="s">
        <v>418</v>
      </c>
      <c r="C18" s="906"/>
      <c r="D18" s="906"/>
      <c r="E18" s="906"/>
      <c r="F18" s="906"/>
      <c r="G18" s="906"/>
      <c r="H18" s="907" t="s">
        <v>6</v>
      </c>
    </row>
    <row r="19" spans="1:8" s="2" customFormat="1">
      <c r="A19" s="907"/>
      <c r="B19" s="10" t="s">
        <v>419</v>
      </c>
      <c r="C19" s="10" t="s">
        <v>420</v>
      </c>
      <c r="D19" s="10" t="s">
        <v>421</v>
      </c>
      <c r="E19" s="10" t="s">
        <v>422</v>
      </c>
      <c r="F19" s="10" t="s">
        <v>423</v>
      </c>
      <c r="G19" s="10" t="s">
        <v>424</v>
      </c>
      <c r="H19" s="907"/>
    </row>
    <row r="20" spans="1:8">
      <c r="A20" s="11" t="s">
        <v>46</v>
      </c>
      <c r="B20" s="12">
        <f>'ปกติ (2)'!C20</f>
        <v>515</v>
      </c>
      <c r="C20" s="12">
        <f>'ปกติ (2)'!D20</f>
        <v>534</v>
      </c>
      <c r="D20" s="12">
        <f>'ปกติ (2)'!E20</f>
        <v>623</v>
      </c>
      <c r="E20" s="12">
        <f>'ปกติ (2)'!F20</f>
        <v>516</v>
      </c>
      <c r="F20" s="13">
        <f>'ปกติ (2)'!G20+'กศ.ป. (2)'!G20</f>
        <v>0</v>
      </c>
      <c r="G20" s="13">
        <f>'ปกติ (2)'!H20+'กศ.ป. (2)'!H20+'กศ.ป. (2)'!I20</f>
        <v>0</v>
      </c>
      <c r="H20" s="14">
        <f t="shared" ref="H20:H26" si="0">SUM(B20:G20)</f>
        <v>2188</v>
      </c>
    </row>
    <row r="21" spans="1:8">
      <c r="A21" s="15" t="s">
        <v>425</v>
      </c>
      <c r="B21" s="16">
        <f>'ปกติ (2)'!C85+'กศ.ป. (2)'!C60</f>
        <v>650</v>
      </c>
      <c r="C21" s="16">
        <f>'ปกติ (2)'!D85+'กศ.ป. (2)'!D60</f>
        <v>626</v>
      </c>
      <c r="D21" s="16">
        <f>'ปกติ (2)'!E85+'กศ.ป. (2)'!E60</f>
        <v>523</v>
      </c>
      <c r="E21" s="16">
        <f>'ปกติ (2)'!F85+'กศ.ป. (2)'!F60</f>
        <v>116</v>
      </c>
      <c r="F21" s="16">
        <f>'ปกติ (2)'!G85+'กศ.ป. (2)'!G60</f>
        <v>0</v>
      </c>
      <c r="G21" s="16">
        <f>'ปกติ (2)'!H85+'กศ.ป. (2)'!H60+'กศ.ป. (2)'!I60</f>
        <v>0</v>
      </c>
      <c r="H21" s="17">
        <f t="shared" si="0"/>
        <v>1915</v>
      </c>
    </row>
    <row r="22" spans="1:8">
      <c r="A22" s="15" t="s">
        <v>50</v>
      </c>
      <c r="B22" s="16">
        <f>'ปกติ (2)'!C99+'กศ.ป. (2)'!C84</f>
        <v>951</v>
      </c>
      <c r="C22" s="16">
        <f>'ปกติ (2)'!D99+'กศ.ป. (2)'!D84</f>
        <v>707</v>
      </c>
      <c r="D22" s="16">
        <f>'ปกติ (2)'!E99+'กศ.ป. (2)'!E84</f>
        <v>558</v>
      </c>
      <c r="E22" s="16">
        <f>'ปกติ (2)'!F99+'กศ.ป. (2)'!F84</f>
        <v>83</v>
      </c>
      <c r="F22" s="16">
        <f>'ปกติ (2)'!G99+'กศ.ป. (2)'!G84</f>
        <v>0</v>
      </c>
      <c r="G22" s="16">
        <f>'ปกติ (2)'!H99+'กศ.ป. (2)'!H84+'กศ.ป. (2)'!I84</f>
        <v>0</v>
      </c>
      <c r="H22" s="17">
        <f t="shared" si="0"/>
        <v>2299</v>
      </c>
    </row>
    <row r="23" spans="1:8">
      <c r="A23" s="15" t="s">
        <v>53</v>
      </c>
      <c r="B23" s="18">
        <f>'ปกติ (2)'!C42</f>
        <v>374</v>
      </c>
      <c r="C23" s="16">
        <f>'ปกติ (2)'!D42+'กศ.ป. (2)'!D42</f>
        <v>423</v>
      </c>
      <c r="D23" s="16">
        <f>'ปกติ (2)'!E42+'กศ.ป. (2)'!E42</f>
        <v>375</v>
      </c>
      <c r="E23" s="16">
        <f>'ปกติ (2)'!F42+'กศ.ป. (2)'!F42</f>
        <v>50</v>
      </c>
      <c r="F23" s="18">
        <f>'ปกติ (2)'!G42</f>
        <v>0</v>
      </c>
      <c r="G23" s="18">
        <f>'ปกติ (2)'!H42</f>
        <v>0</v>
      </c>
      <c r="H23" s="17">
        <f t="shared" si="0"/>
        <v>1222</v>
      </c>
    </row>
    <row r="24" spans="1:8">
      <c r="A24" s="15" t="s">
        <v>55</v>
      </c>
      <c r="B24" s="18">
        <f>'ปกติ (2)'!C74</f>
        <v>113</v>
      </c>
      <c r="C24" s="18">
        <f>'ปกติ (2)'!D74</f>
        <v>243</v>
      </c>
      <c r="D24" s="18">
        <f>'ปกติ (2)'!E74</f>
        <v>166</v>
      </c>
      <c r="E24" s="16">
        <f>'ปกติ (2)'!F74+'กศ.ป. (2)'!F46</f>
        <v>33</v>
      </c>
      <c r="F24" s="18">
        <f>'ปกติ (2)'!G74</f>
        <v>0</v>
      </c>
      <c r="G24" s="18">
        <f>'ปกติ (2)'!H74</f>
        <v>0</v>
      </c>
      <c r="H24" s="17">
        <f t="shared" si="0"/>
        <v>555</v>
      </c>
    </row>
    <row r="25" spans="1:8">
      <c r="A25" s="19" t="s">
        <v>57</v>
      </c>
      <c r="B25" s="20">
        <f>'ปกติ (2)'!C50+'กศ.ป. (2)'!C38</f>
        <v>274</v>
      </c>
      <c r="C25" s="20">
        <f>'ปกติ (2)'!D50+'กศ.ป. (2)'!D38</f>
        <v>207</v>
      </c>
      <c r="D25" s="20">
        <f>'ปกติ (2)'!E50+'กศ.ป. (2)'!E38</f>
        <v>207</v>
      </c>
      <c r="E25" s="20">
        <f>'ปกติ (2)'!F50+'กศ.ป. (2)'!F38</f>
        <v>51</v>
      </c>
      <c r="F25" s="20">
        <f>('ปกติ (2)'!G50-3)+'กศ.ป. (2)'!G38</f>
        <v>-3</v>
      </c>
      <c r="G25" s="20">
        <f>'ปกติ (2)'!H50+'กศ.ป. (2)'!H38</f>
        <v>0</v>
      </c>
      <c r="H25" s="21">
        <f t="shared" si="0"/>
        <v>736</v>
      </c>
    </row>
    <row r="26" spans="1:8">
      <c r="A26" s="10" t="s">
        <v>6</v>
      </c>
      <c r="B26" s="22">
        <f t="shared" ref="B26:G26" si="1">SUM(B20:B25)</f>
        <v>2877</v>
      </c>
      <c r="C26" s="22">
        <f t="shared" si="1"/>
        <v>2740</v>
      </c>
      <c r="D26" s="22">
        <f t="shared" si="1"/>
        <v>2452</v>
      </c>
      <c r="E26" s="22">
        <f t="shared" si="1"/>
        <v>849</v>
      </c>
      <c r="F26" s="22">
        <f t="shared" si="1"/>
        <v>-3</v>
      </c>
      <c r="G26" s="22">
        <f t="shared" si="1"/>
        <v>0</v>
      </c>
      <c r="H26" s="23">
        <f t="shared" si="0"/>
        <v>8915</v>
      </c>
    </row>
    <row r="28" spans="1:8" s="2" customFormat="1">
      <c r="A28" s="2" t="s">
        <v>426</v>
      </c>
      <c r="B28" s="9"/>
      <c r="C28" s="9"/>
      <c r="D28" s="9"/>
      <c r="E28" s="9"/>
      <c r="F28" s="9"/>
      <c r="G28" s="9"/>
    </row>
    <row r="29" spans="1:8" ht="9.9499999999999993" customHeight="1"/>
    <row r="30" spans="1:8" s="2" customFormat="1">
      <c r="A30" s="907" t="s">
        <v>38</v>
      </c>
      <c r="B30" s="906" t="s">
        <v>418</v>
      </c>
      <c r="C30" s="906"/>
      <c r="D30" s="906"/>
      <c r="E30" s="906"/>
      <c r="F30" s="906"/>
      <c r="G30" s="906"/>
      <c r="H30" s="907" t="s">
        <v>6</v>
      </c>
    </row>
    <row r="31" spans="1:8" s="2" customFormat="1">
      <c r="A31" s="907"/>
      <c r="B31" s="10" t="s">
        <v>419</v>
      </c>
      <c r="C31" s="10" t="s">
        <v>420</v>
      </c>
      <c r="D31" s="10" t="s">
        <v>421</v>
      </c>
      <c r="E31" s="10" t="s">
        <v>422</v>
      </c>
      <c r="F31" s="10" t="s">
        <v>423</v>
      </c>
      <c r="G31" s="10" t="s">
        <v>424</v>
      </c>
      <c r="H31" s="907"/>
    </row>
    <row r="32" spans="1:8">
      <c r="A32" s="11" t="s">
        <v>46</v>
      </c>
      <c r="B32" s="24">
        <f>'ปกติ (2)'!C29+บัณฑิตศึกษา!C13+บัณฑิตศึกษา!C19+บัณฑิตศึกษา!C40</f>
        <v>171</v>
      </c>
      <c r="C32" s="24">
        <f>'ปกติ (2)'!D29+บัณฑิตศึกษา!D13+บัณฑิตศึกษา!D19+บัณฑิตศึกษา!D40</f>
        <v>143</v>
      </c>
      <c r="D32" s="24">
        <f>'ปกติ (2)'!E29+บัณฑิตศึกษา!E13+บัณฑิตศึกษา!E19</f>
        <v>86</v>
      </c>
      <c r="E32" s="24">
        <f>'ปกติ (2)'!F29+บัณฑิตศึกษา!F13+บัณฑิตศึกษา!F19</f>
        <v>89</v>
      </c>
      <c r="F32" s="24">
        <f>'ปกติ (2)'!G29+บัณฑิตศึกษา!G13+บัณฑิตศึกษา!G19</f>
        <v>8</v>
      </c>
      <c r="G32" s="24">
        <f>'ปกติ (2)'!H29+บัณฑิตศึกษา!H13+บัณฑิตศึกษา!H19</f>
        <v>0</v>
      </c>
      <c r="H32" s="14">
        <f t="shared" ref="H32:H38" si="2">SUM(B32:G32)</f>
        <v>497</v>
      </c>
    </row>
    <row r="33" spans="1:8">
      <c r="A33" s="15" t="s">
        <v>425</v>
      </c>
      <c r="B33" s="25">
        <f>0+บัณฑิตศึกษา!C28</f>
        <v>0</v>
      </c>
      <c r="C33" s="25">
        <f>0+บัณฑิตศึกษา!D28</f>
        <v>0</v>
      </c>
      <c r="D33" s="25">
        <f>0+บัณฑิตศึกษา!E28</f>
        <v>7</v>
      </c>
      <c r="E33" s="25">
        <f>0+บัณฑิตศึกษา!F28</f>
        <v>7</v>
      </c>
      <c r="F33" s="25">
        <f>0+บัณฑิตศึกษา!G28</f>
        <v>0</v>
      </c>
      <c r="G33" s="25">
        <f>0+บัณฑิตศึกษา!H28</f>
        <v>0</v>
      </c>
      <c r="H33" s="17">
        <f t="shared" si="2"/>
        <v>14</v>
      </c>
    </row>
    <row r="34" spans="1:8">
      <c r="A34" s="15" t="s">
        <v>50</v>
      </c>
      <c r="B34" s="25">
        <f>0+บัณฑิตศึกษา!C36</f>
        <v>33</v>
      </c>
      <c r="C34" s="25">
        <f>0+บัณฑิตศึกษา!D36</f>
        <v>28</v>
      </c>
      <c r="D34" s="25">
        <f>0+บัณฑิตศึกษา!E36</f>
        <v>21</v>
      </c>
      <c r="E34" s="25">
        <f>0+บัณฑิตศึกษา!F36</f>
        <v>12</v>
      </c>
      <c r="F34" s="25">
        <f>0+บัณฑิตศึกษา!G36</f>
        <v>0</v>
      </c>
      <c r="G34" s="25">
        <f>0+บัณฑิตศึกษา!H36</f>
        <v>0</v>
      </c>
      <c r="H34" s="17">
        <f t="shared" si="2"/>
        <v>94</v>
      </c>
    </row>
    <row r="35" spans="1:8">
      <c r="A35" s="15" t="s">
        <v>53</v>
      </c>
      <c r="B35" s="25">
        <f>'ปกติ (2)'!C46+'ปกติ (2)'!C49+บัณฑิตศึกษา!C24</f>
        <v>14</v>
      </c>
      <c r="C35" s="25">
        <f>'ปกติ (2)'!D46+'ปกติ (2)'!D49+บัณฑิตศึกษา!D24</f>
        <v>28</v>
      </c>
      <c r="D35" s="25">
        <f>'ปกติ (2)'!E46+'ปกติ (2)'!E49+บัณฑิตศึกษา!E24</f>
        <v>25</v>
      </c>
      <c r="E35" s="25">
        <f>'ปกติ (2)'!F46+'ปกติ (2)'!F49+บัณฑิตศึกษา!F24</f>
        <v>20</v>
      </c>
      <c r="F35" s="25">
        <f>'ปกติ (2)'!G46+'ปกติ (2)'!G49+บัณฑิตศึกษา!G24</f>
        <v>2</v>
      </c>
      <c r="G35" s="25">
        <f>'ปกติ (2)'!H46+'ปกติ (2)'!H49</f>
        <v>0</v>
      </c>
      <c r="H35" s="17">
        <f t="shared" si="2"/>
        <v>89</v>
      </c>
    </row>
    <row r="36" spans="1:8">
      <c r="A36" s="26" t="s">
        <v>55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17">
        <f t="shared" si="2"/>
        <v>0</v>
      </c>
    </row>
    <row r="37" spans="1:8">
      <c r="A37" s="19" t="s">
        <v>57</v>
      </c>
      <c r="B37" s="28">
        <v>0</v>
      </c>
      <c r="C37" s="28">
        <v>0</v>
      </c>
      <c r="D37" s="28">
        <v>0</v>
      </c>
      <c r="E37" s="28">
        <v>0</v>
      </c>
      <c r="F37" s="28">
        <f>'ปกติ (2)'!G73+บัณฑิตศึกษา!G32</f>
        <v>0</v>
      </c>
      <c r="G37" s="28">
        <v>0</v>
      </c>
      <c r="H37" s="21">
        <f t="shared" si="2"/>
        <v>0</v>
      </c>
    </row>
    <row r="38" spans="1:8">
      <c r="A38" s="10" t="s">
        <v>6</v>
      </c>
      <c r="B38" s="22">
        <f t="shared" ref="B38:G38" si="3">SUM(B32:B37)</f>
        <v>218</v>
      </c>
      <c r="C38" s="22">
        <f t="shared" si="3"/>
        <v>199</v>
      </c>
      <c r="D38" s="22">
        <f t="shared" si="3"/>
        <v>139</v>
      </c>
      <c r="E38" s="22">
        <f t="shared" si="3"/>
        <v>128</v>
      </c>
      <c r="F38" s="22">
        <f t="shared" si="3"/>
        <v>10</v>
      </c>
      <c r="G38" s="22">
        <f t="shared" si="3"/>
        <v>0</v>
      </c>
      <c r="H38" s="23">
        <f t="shared" si="2"/>
        <v>694</v>
      </c>
    </row>
    <row r="40" spans="1:8">
      <c r="A40" s="29" t="s">
        <v>427</v>
      </c>
    </row>
  </sheetData>
  <mergeCells count="18">
    <mergeCell ref="H30:H31"/>
    <mergeCell ref="B30:G30"/>
    <mergeCell ref="A6:A7"/>
    <mergeCell ref="A12:A13"/>
    <mergeCell ref="A18:A19"/>
    <mergeCell ref="A30:A31"/>
    <mergeCell ref="B12:C12"/>
    <mergeCell ref="D12:E12"/>
    <mergeCell ref="F12:G12"/>
    <mergeCell ref="H12:I12"/>
    <mergeCell ref="B18:G18"/>
    <mergeCell ref="H18:H19"/>
    <mergeCell ref="A1:I1"/>
    <mergeCell ref="A2:I2"/>
    <mergeCell ref="B6:C6"/>
    <mergeCell ref="D6:E6"/>
    <mergeCell ref="F6:G6"/>
    <mergeCell ref="H6:I6"/>
  </mergeCells>
  <printOptions horizontalCentered="1"/>
  <pageMargins left="0.47244094488188998" right="0.47244094488188998" top="0.74803149606299202" bottom="0.74803149606299202" header="0.31496062992126" footer="0.31496062992126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4"/>
  <sheetViews>
    <sheetView view="pageBreakPreview" zoomScale="130" zoomScaleNormal="100" workbookViewId="0">
      <pane ySplit="4" topLeftCell="A132" activePane="bottomLeft" state="frozen"/>
      <selection pane="bottomLeft" activeCell="L32" sqref="L32"/>
    </sheetView>
  </sheetViews>
  <sheetFormatPr defaultColWidth="9.140625" defaultRowHeight="21" customHeight="1"/>
  <cols>
    <col min="1" max="1" width="41.7109375" style="47" customWidth="1"/>
    <col min="2" max="2" width="7.42578125" style="47" customWidth="1"/>
    <col min="3" max="3" width="7.42578125" style="320" customWidth="1"/>
    <col min="4" max="6" width="7.42578125" style="106" customWidth="1"/>
    <col min="7" max="7" width="9.7109375" style="106" customWidth="1"/>
    <col min="8" max="9" width="10.85546875" style="106" hidden="1" customWidth="1"/>
    <col min="10" max="10" width="10" style="106" hidden="1" customWidth="1"/>
    <col min="11" max="11" width="10.85546875" style="106" hidden="1" customWidth="1"/>
    <col min="12" max="12" width="28.140625" style="105" customWidth="1"/>
    <col min="13" max="20" width="10.85546875" style="106" customWidth="1"/>
    <col min="21" max="16384" width="9.140625" style="47"/>
  </cols>
  <sheetData>
    <row r="1" spans="1:25" ht="21" customHeight="1">
      <c r="A1" s="792" t="s">
        <v>29</v>
      </c>
      <c r="B1" s="792"/>
      <c r="C1" s="792"/>
      <c r="D1" s="792"/>
      <c r="E1" s="792"/>
      <c r="F1" s="792"/>
      <c r="G1" s="792"/>
      <c r="H1" s="108"/>
      <c r="I1" s="108"/>
      <c r="J1" s="108"/>
      <c r="K1" s="108"/>
      <c r="L1" s="107"/>
      <c r="M1" s="108"/>
      <c r="N1" s="108"/>
      <c r="O1" s="108"/>
      <c r="P1" s="108"/>
      <c r="Q1" s="108"/>
      <c r="R1" s="108"/>
      <c r="S1" s="108"/>
      <c r="T1" s="108"/>
    </row>
    <row r="2" spans="1:25" ht="21" customHeight="1">
      <c r="A2" s="793"/>
      <c r="B2" s="793"/>
      <c r="C2" s="793"/>
      <c r="D2" s="793"/>
      <c r="E2" s="793"/>
      <c r="F2" s="793"/>
      <c r="G2" s="793"/>
      <c r="H2" s="154"/>
      <c r="I2" s="154"/>
      <c r="J2" s="154"/>
      <c r="K2" s="154"/>
      <c r="L2" s="794" t="s">
        <v>30</v>
      </c>
      <c r="M2" s="794"/>
      <c r="N2" s="794"/>
      <c r="O2" s="794"/>
      <c r="P2" s="794"/>
      <c r="Q2" s="794"/>
      <c r="R2" s="794"/>
      <c r="S2" s="154"/>
      <c r="T2" s="154"/>
    </row>
    <row r="3" spans="1:25" ht="21" customHeight="1">
      <c r="A3" s="803" t="s">
        <v>31</v>
      </c>
      <c r="B3" s="795" t="s">
        <v>32</v>
      </c>
      <c r="C3" s="796"/>
      <c r="D3" s="796"/>
      <c r="E3" s="796"/>
      <c r="F3" s="796"/>
      <c r="G3" s="797"/>
      <c r="H3" s="108"/>
      <c r="I3" s="108"/>
      <c r="J3" s="108"/>
      <c r="K3" s="108"/>
      <c r="L3" s="107"/>
      <c r="M3" s="108"/>
      <c r="N3" s="108"/>
      <c r="O3" s="108"/>
      <c r="P3" s="108"/>
      <c r="Q3" s="108"/>
      <c r="R3" s="108"/>
      <c r="S3" s="108"/>
      <c r="T3" s="108"/>
    </row>
    <row r="4" spans="1:25" ht="21" customHeight="1">
      <c r="A4" s="804"/>
      <c r="B4" s="762" t="s">
        <v>33</v>
      </c>
      <c r="C4" s="762" t="s">
        <v>34</v>
      </c>
      <c r="D4" s="762" t="s">
        <v>35</v>
      </c>
      <c r="E4" s="762" t="s">
        <v>36</v>
      </c>
      <c r="F4" s="762" t="s">
        <v>37</v>
      </c>
      <c r="G4" s="286" t="s">
        <v>6</v>
      </c>
      <c r="H4" s="400"/>
      <c r="I4" s="400"/>
      <c r="J4" s="400"/>
      <c r="K4" s="400"/>
      <c r="L4" s="805" t="s">
        <v>38</v>
      </c>
      <c r="M4" s="798" t="s">
        <v>39</v>
      </c>
      <c r="N4" s="798"/>
      <c r="O4" s="798"/>
      <c r="P4" s="798"/>
      <c r="Q4" s="798"/>
      <c r="R4" s="807" t="s">
        <v>6</v>
      </c>
      <c r="S4" s="400"/>
      <c r="T4" s="400"/>
    </row>
    <row r="5" spans="1:25" ht="21" customHeight="1">
      <c r="A5" s="215" t="s">
        <v>40</v>
      </c>
      <c r="B5" s="523">
        <f t="shared" ref="B5:G5" si="0">SUM(B20,B23,B29)</f>
        <v>0</v>
      </c>
      <c r="C5" s="523">
        <f t="shared" si="0"/>
        <v>632</v>
      </c>
      <c r="D5" s="523">
        <f t="shared" si="0"/>
        <v>526</v>
      </c>
      <c r="E5" s="523">
        <f t="shared" si="0"/>
        <v>1172</v>
      </c>
      <c r="F5" s="523">
        <f t="shared" si="0"/>
        <v>893</v>
      </c>
      <c r="G5" s="523">
        <f t="shared" si="0"/>
        <v>3223</v>
      </c>
      <c r="H5" s="403"/>
      <c r="I5" s="403"/>
      <c r="J5" s="403"/>
      <c r="K5" s="403"/>
      <c r="L5" s="806"/>
      <c r="M5" s="113" t="s">
        <v>41</v>
      </c>
      <c r="N5" s="110" t="s">
        <v>42</v>
      </c>
      <c r="O5" s="110" t="s">
        <v>43</v>
      </c>
      <c r="P5" s="110" t="s">
        <v>25</v>
      </c>
      <c r="Q5" s="110" t="s">
        <v>44</v>
      </c>
      <c r="R5" s="808"/>
      <c r="S5" s="403"/>
      <c r="T5" s="403"/>
      <c r="W5" s="301">
        <f>G5</f>
        <v>3223</v>
      </c>
    </row>
    <row r="6" spans="1:25" ht="21" customHeight="1">
      <c r="A6" s="220" t="s">
        <v>45</v>
      </c>
      <c r="B6" s="220"/>
      <c r="C6" s="691">
        <v>55</v>
      </c>
      <c r="D6" s="563">
        <v>55</v>
      </c>
      <c r="E6" s="563">
        <v>117</v>
      </c>
      <c r="F6" s="563">
        <v>119</v>
      </c>
      <c r="G6" s="563">
        <f t="shared" ref="G6:G19" si="1">SUM(B6:F6)</f>
        <v>346</v>
      </c>
      <c r="H6" s="88"/>
      <c r="I6" s="88"/>
      <c r="J6" s="131">
        <f t="shared" ref="J6:J19" si="2">SUM(C6:F6)</f>
        <v>346</v>
      </c>
      <c r="K6" s="88"/>
      <c r="L6" s="126" t="s">
        <v>46</v>
      </c>
      <c r="M6" s="127"/>
      <c r="N6" s="127"/>
      <c r="O6" s="127">
        <f>G20</f>
        <v>3193</v>
      </c>
      <c r="P6" s="127"/>
      <c r="Q6" s="127">
        <f>G29</f>
        <v>30</v>
      </c>
      <c r="R6" s="127">
        <f t="shared" ref="R6:R14" si="3">SUM(M6:Q6)</f>
        <v>3223</v>
      </c>
      <c r="S6" s="88"/>
      <c r="T6" s="88"/>
      <c r="U6" s="306">
        <v>58</v>
      </c>
      <c r="V6" s="301">
        <v>122</v>
      </c>
      <c r="W6" s="301">
        <v>117</v>
      </c>
      <c r="X6" s="301">
        <v>114</v>
      </c>
      <c r="Y6" s="301">
        <v>84</v>
      </c>
    </row>
    <row r="7" spans="1:25" ht="21" customHeight="1">
      <c r="A7" s="56" t="s">
        <v>47</v>
      </c>
      <c r="B7" s="56"/>
      <c r="C7" s="445">
        <v>48</v>
      </c>
      <c r="D7" s="275">
        <v>52</v>
      </c>
      <c r="E7" s="275">
        <v>120</v>
      </c>
      <c r="F7" s="275">
        <v>102</v>
      </c>
      <c r="G7" s="275">
        <f t="shared" si="1"/>
        <v>322</v>
      </c>
      <c r="H7" s="88"/>
      <c r="I7" s="88"/>
      <c r="J7" s="131">
        <f t="shared" si="2"/>
        <v>322</v>
      </c>
      <c r="K7" s="88"/>
      <c r="L7" s="126" t="s">
        <v>48</v>
      </c>
      <c r="M7" s="127"/>
      <c r="N7" s="127">
        <f>G111</f>
        <v>1192</v>
      </c>
      <c r="O7" s="127"/>
      <c r="P7" s="127"/>
      <c r="Q7" s="127"/>
      <c r="R7" s="127">
        <f t="shared" si="3"/>
        <v>1192</v>
      </c>
      <c r="S7" s="88"/>
      <c r="T7" s="88"/>
      <c r="U7" s="306">
        <v>57</v>
      </c>
      <c r="V7" s="301">
        <v>128</v>
      </c>
      <c r="W7" s="301">
        <v>101</v>
      </c>
      <c r="X7" s="301">
        <v>51</v>
      </c>
      <c r="Y7" s="301">
        <v>30</v>
      </c>
    </row>
    <row r="8" spans="1:25" ht="21" customHeight="1">
      <c r="A8" s="56" t="s">
        <v>49</v>
      </c>
      <c r="B8" s="56"/>
      <c r="C8" s="445">
        <v>59</v>
      </c>
      <c r="D8" s="275">
        <v>50</v>
      </c>
      <c r="E8" s="275">
        <v>113</v>
      </c>
      <c r="F8" s="275">
        <v>116</v>
      </c>
      <c r="G8" s="275">
        <f t="shared" si="1"/>
        <v>338</v>
      </c>
      <c r="H8" s="88"/>
      <c r="I8" s="88"/>
      <c r="J8" s="131">
        <f t="shared" si="2"/>
        <v>338</v>
      </c>
      <c r="K8" s="88"/>
      <c r="L8" s="126" t="s">
        <v>50</v>
      </c>
      <c r="M8" s="127">
        <f>G130</f>
        <v>203</v>
      </c>
      <c r="N8" s="127">
        <f>G124</f>
        <v>1470</v>
      </c>
      <c r="O8" s="127"/>
      <c r="P8" s="127">
        <f>G134</f>
        <v>2</v>
      </c>
      <c r="Q8" s="127"/>
      <c r="R8" s="127">
        <f t="shared" si="3"/>
        <v>1675</v>
      </c>
      <c r="S8" s="88"/>
      <c r="T8" s="88"/>
      <c r="U8" s="306">
        <v>58</v>
      </c>
      <c r="V8" s="301">
        <v>116</v>
      </c>
      <c r="W8" s="301">
        <v>111</v>
      </c>
      <c r="X8" s="301">
        <v>99</v>
      </c>
      <c r="Y8" s="301">
        <v>41</v>
      </c>
    </row>
    <row r="9" spans="1:25" ht="21" customHeight="1">
      <c r="A9" s="56" t="s">
        <v>51</v>
      </c>
      <c r="B9" s="56"/>
      <c r="C9" s="445">
        <v>49</v>
      </c>
      <c r="D9" s="275">
        <v>38</v>
      </c>
      <c r="E9" s="275">
        <f>59+61</f>
        <v>120</v>
      </c>
      <c r="F9" s="275">
        <v>96</v>
      </c>
      <c r="G9" s="275">
        <f t="shared" si="1"/>
        <v>303</v>
      </c>
      <c r="H9" s="88"/>
      <c r="I9" s="88"/>
      <c r="J9" s="131">
        <f t="shared" si="2"/>
        <v>303</v>
      </c>
      <c r="K9" s="88"/>
      <c r="L9" s="49" t="s">
        <v>6</v>
      </c>
      <c r="M9" s="49">
        <f>SUM(M6:M8)</f>
        <v>203</v>
      </c>
      <c r="N9" s="49">
        <f>SUM(N6:N8)</f>
        <v>2662</v>
      </c>
      <c r="O9" s="49">
        <f>SUM(O6:O8)</f>
        <v>3193</v>
      </c>
      <c r="P9" s="49">
        <f>SUM(P6:P8)</f>
        <v>2</v>
      </c>
      <c r="Q9" s="49">
        <f>SUM(Q6:Q8)</f>
        <v>30</v>
      </c>
      <c r="R9" s="49">
        <f t="shared" si="3"/>
        <v>6090</v>
      </c>
      <c r="S9" s="88"/>
      <c r="T9" s="88"/>
      <c r="U9" s="306">
        <v>52</v>
      </c>
      <c r="V9" s="301">
        <v>123</v>
      </c>
      <c r="W9" s="301">
        <v>94</v>
      </c>
      <c r="X9" s="301">
        <v>98</v>
      </c>
      <c r="Y9" s="301">
        <v>82</v>
      </c>
    </row>
    <row r="10" spans="1:25" ht="21" customHeight="1">
      <c r="A10" s="56" t="s">
        <v>52</v>
      </c>
      <c r="B10" s="56"/>
      <c r="C10" s="445">
        <v>54</v>
      </c>
      <c r="D10" s="275">
        <v>46</v>
      </c>
      <c r="E10" s="275">
        <v>115</v>
      </c>
      <c r="F10" s="275">
        <v>117</v>
      </c>
      <c r="G10" s="275">
        <f t="shared" si="1"/>
        <v>332</v>
      </c>
      <c r="H10" s="88"/>
      <c r="I10" s="88"/>
      <c r="J10" s="131">
        <f t="shared" si="2"/>
        <v>332</v>
      </c>
      <c r="K10" s="88"/>
      <c r="L10" s="126" t="s">
        <v>53</v>
      </c>
      <c r="M10" s="127"/>
      <c r="N10" s="127">
        <f>G42</f>
        <v>1093</v>
      </c>
      <c r="O10" s="127"/>
      <c r="P10" s="127">
        <f>G47</f>
        <v>8</v>
      </c>
      <c r="Q10" s="127">
        <f>G50</f>
        <v>3</v>
      </c>
      <c r="R10" s="127">
        <f t="shared" si="3"/>
        <v>1104</v>
      </c>
      <c r="S10" s="88"/>
      <c r="T10" s="88"/>
      <c r="U10" s="306">
        <v>59</v>
      </c>
      <c r="V10" s="301">
        <v>120</v>
      </c>
      <c r="W10" s="301">
        <v>116</v>
      </c>
      <c r="X10" s="301">
        <v>88</v>
      </c>
      <c r="Y10" s="301">
        <v>34</v>
      </c>
    </row>
    <row r="11" spans="1:25" ht="21" customHeight="1">
      <c r="A11" s="56" t="s">
        <v>54</v>
      </c>
      <c r="B11" s="56"/>
      <c r="C11" s="445">
        <v>43</v>
      </c>
      <c r="D11" s="275">
        <v>40</v>
      </c>
      <c r="E11" s="275">
        <v>114</v>
      </c>
      <c r="F11" s="275">
        <v>102</v>
      </c>
      <c r="G11" s="275">
        <f t="shared" si="1"/>
        <v>299</v>
      </c>
      <c r="H11" s="88"/>
      <c r="I11" s="88"/>
      <c r="J11" s="131">
        <f t="shared" si="2"/>
        <v>299</v>
      </c>
      <c r="K11" s="88"/>
      <c r="L11" s="126" t="s">
        <v>55</v>
      </c>
      <c r="M11" s="127"/>
      <c r="N11" s="127">
        <f>G78</f>
        <v>525</v>
      </c>
      <c r="O11" s="127"/>
      <c r="P11" s="127"/>
      <c r="Q11" s="127"/>
      <c r="R11" s="127">
        <f t="shared" si="3"/>
        <v>525</v>
      </c>
      <c r="S11" s="88"/>
      <c r="T11" s="88"/>
      <c r="U11" s="306">
        <v>51</v>
      </c>
      <c r="V11" s="301">
        <v>116</v>
      </c>
      <c r="W11" s="301">
        <v>102</v>
      </c>
      <c r="X11" s="301">
        <v>65</v>
      </c>
      <c r="Y11" s="301">
        <v>54</v>
      </c>
    </row>
    <row r="12" spans="1:25" ht="21" customHeight="1">
      <c r="A12" s="692" t="s">
        <v>56</v>
      </c>
      <c r="B12" s="56"/>
      <c r="C12" s="445">
        <v>44</v>
      </c>
      <c r="D12" s="275">
        <v>53</v>
      </c>
      <c r="E12" s="275">
        <v>41</v>
      </c>
      <c r="F12" s="275">
        <v>1</v>
      </c>
      <c r="G12" s="275">
        <f t="shared" si="1"/>
        <v>139</v>
      </c>
      <c r="H12" s="88"/>
      <c r="I12" s="88"/>
      <c r="J12" s="131">
        <f t="shared" si="2"/>
        <v>139</v>
      </c>
      <c r="K12" s="88"/>
      <c r="L12" s="126" t="s">
        <v>57</v>
      </c>
      <c r="M12" s="127">
        <f>G73</f>
        <v>111</v>
      </c>
      <c r="N12" s="127">
        <f>G62</f>
        <v>592</v>
      </c>
      <c r="O12" s="127"/>
      <c r="P12" s="127">
        <f>G77</f>
        <v>3</v>
      </c>
      <c r="Q12" s="127"/>
      <c r="R12" s="127">
        <f t="shared" si="3"/>
        <v>706</v>
      </c>
      <c r="S12" s="88"/>
      <c r="T12" s="88"/>
      <c r="U12" s="306">
        <v>57</v>
      </c>
      <c r="V12" s="301">
        <v>43</v>
      </c>
      <c r="W12" s="301"/>
      <c r="X12" s="301">
        <v>18</v>
      </c>
      <c r="Y12" s="301">
        <v>1</v>
      </c>
    </row>
    <row r="13" spans="1:25" ht="21" customHeight="1">
      <c r="A13" s="56" t="s">
        <v>17</v>
      </c>
      <c r="B13" s="56"/>
      <c r="C13" s="445">
        <v>47</v>
      </c>
      <c r="D13" s="275">
        <v>41</v>
      </c>
      <c r="E13" s="275">
        <f>54+50</f>
        <v>104</v>
      </c>
      <c r="F13" s="275">
        <v>114</v>
      </c>
      <c r="G13" s="275">
        <f t="shared" si="1"/>
        <v>306</v>
      </c>
      <c r="H13" s="88"/>
      <c r="I13" s="88"/>
      <c r="J13" s="131">
        <f t="shared" si="2"/>
        <v>306</v>
      </c>
      <c r="K13" s="88"/>
      <c r="L13" s="129" t="s">
        <v>6</v>
      </c>
      <c r="M13" s="49">
        <f>SUM(M10:M12)</f>
        <v>111</v>
      </c>
      <c r="N13" s="49">
        <f>SUM(N10:N12)</f>
        <v>2210</v>
      </c>
      <c r="O13" s="49">
        <f>SUM(O10:O12)</f>
        <v>0</v>
      </c>
      <c r="P13" s="49">
        <f>SUM(P10:P12)</f>
        <v>11</v>
      </c>
      <c r="Q13" s="49">
        <f>SUM(Q10:Q12)</f>
        <v>3</v>
      </c>
      <c r="R13" s="127">
        <f t="shared" si="3"/>
        <v>2335</v>
      </c>
      <c r="S13" s="88"/>
      <c r="T13" s="88"/>
      <c r="U13" s="306">
        <v>54</v>
      </c>
      <c r="V13" s="301">
        <v>105</v>
      </c>
      <c r="W13" s="301">
        <v>108</v>
      </c>
      <c r="X13" s="301">
        <v>100</v>
      </c>
      <c r="Y13" s="301">
        <v>64</v>
      </c>
    </row>
    <row r="14" spans="1:25" ht="21" customHeight="1">
      <c r="A14" s="56" t="s">
        <v>58</v>
      </c>
      <c r="B14" s="56"/>
      <c r="C14" s="445">
        <v>45</v>
      </c>
      <c r="D14" s="275">
        <v>40</v>
      </c>
      <c r="E14" s="275">
        <v>54</v>
      </c>
      <c r="F14" s="275">
        <v>106</v>
      </c>
      <c r="G14" s="275">
        <f t="shared" si="1"/>
        <v>245</v>
      </c>
      <c r="H14" s="88"/>
      <c r="I14" s="88"/>
      <c r="J14" s="131">
        <f t="shared" si="2"/>
        <v>245</v>
      </c>
      <c r="K14" s="88"/>
      <c r="L14" s="129" t="s">
        <v>21</v>
      </c>
      <c r="M14" s="49">
        <f>SUM(M9,M13)</f>
        <v>314</v>
      </c>
      <c r="N14" s="49">
        <f>SUM(N9,N13)</f>
        <v>4872</v>
      </c>
      <c r="O14" s="49">
        <f>SUM(O9,O13)</f>
        <v>3193</v>
      </c>
      <c r="P14" s="49">
        <f>SUM(P9,P13)</f>
        <v>13</v>
      </c>
      <c r="Q14" s="49">
        <f>SUM(Q9,Q13)</f>
        <v>33</v>
      </c>
      <c r="R14" s="49">
        <f t="shared" si="3"/>
        <v>8425</v>
      </c>
      <c r="S14" s="88"/>
      <c r="T14" s="88"/>
      <c r="U14" s="306">
        <v>45</v>
      </c>
      <c r="V14" s="301">
        <v>58</v>
      </c>
      <c r="W14" s="301">
        <v>110</v>
      </c>
      <c r="X14" s="301"/>
      <c r="Y14" s="301"/>
    </row>
    <row r="15" spans="1:25" ht="21" customHeight="1">
      <c r="A15" s="56" t="s">
        <v>59</v>
      </c>
      <c r="B15" s="56"/>
      <c r="C15" s="445">
        <v>39</v>
      </c>
      <c r="D15" s="275">
        <v>43</v>
      </c>
      <c r="E15" s="275">
        <v>93</v>
      </c>
      <c r="F15" s="275"/>
      <c r="G15" s="275">
        <f t="shared" si="1"/>
        <v>175</v>
      </c>
      <c r="H15" s="88"/>
      <c r="I15" s="88"/>
      <c r="J15" s="131">
        <f t="shared" si="2"/>
        <v>175</v>
      </c>
      <c r="K15" s="88"/>
      <c r="L15" s="136"/>
      <c r="M15" s="88"/>
      <c r="N15" s="88"/>
      <c r="O15" s="88"/>
      <c r="P15" s="88"/>
      <c r="Q15" s="88"/>
      <c r="R15" s="88"/>
      <c r="S15" s="88">
        <f>M14+N14+O14</f>
        <v>8379</v>
      </c>
      <c r="T15" s="88"/>
      <c r="U15" s="306">
        <v>48</v>
      </c>
      <c r="V15" s="301">
        <v>99</v>
      </c>
      <c r="W15" s="301"/>
      <c r="X15" s="301"/>
      <c r="Y15" s="301"/>
    </row>
    <row r="16" spans="1:25" ht="21" customHeight="1">
      <c r="A16" s="56" t="s">
        <v>60</v>
      </c>
      <c r="B16" s="56"/>
      <c r="C16" s="445">
        <v>26</v>
      </c>
      <c r="D16" s="275"/>
      <c r="E16" s="275">
        <v>48</v>
      </c>
      <c r="F16" s="275"/>
      <c r="G16" s="275">
        <f t="shared" si="1"/>
        <v>74</v>
      </c>
      <c r="H16" s="88"/>
      <c r="I16" s="88"/>
      <c r="J16" s="131">
        <f t="shared" si="2"/>
        <v>74</v>
      </c>
      <c r="K16" s="88"/>
      <c r="L16" s="794" t="s">
        <v>61</v>
      </c>
      <c r="M16" s="794"/>
      <c r="N16" s="794"/>
      <c r="O16" s="794"/>
      <c r="P16" s="794"/>
      <c r="Q16" s="794"/>
      <c r="R16" s="794"/>
      <c r="S16" s="88"/>
      <c r="T16" s="88"/>
      <c r="U16" s="306"/>
      <c r="V16" s="301">
        <v>50</v>
      </c>
      <c r="W16" s="301"/>
      <c r="X16" s="301"/>
      <c r="Y16" s="301"/>
    </row>
    <row r="17" spans="1:26" ht="21" customHeight="1">
      <c r="A17" s="56" t="s">
        <v>62</v>
      </c>
      <c r="B17" s="56"/>
      <c r="C17" s="445">
        <v>39</v>
      </c>
      <c r="D17" s="275"/>
      <c r="E17" s="275">
        <v>46</v>
      </c>
      <c r="F17" s="275"/>
      <c r="G17" s="275">
        <f t="shared" si="1"/>
        <v>85</v>
      </c>
      <c r="H17" s="88"/>
      <c r="I17" s="88"/>
      <c r="J17" s="131">
        <f t="shared" si="2"/>
        <v>85</v>
      </c>
      <c r="K17" s="88"/>
      <c r="L17" s="805" t="s">
        <v>38</v>
      </c>
      <c r="M17" s="798" t="s">
        <v>39</v>
      </c>
      <c r="N17" s="798"/>
      <c r="O17" s="798"/>
      <c r="P17" s="798"/>
      <c r="Q17" s="798"/>
      <c r="R17" s="807" t="s">
        <v>6</v>
      </c>
      <c r="S17" s="88"/>
      <c r="T17" s="88"/>
      <c r="U17" s="306"/>
      <c r="V17" s="301">
        <v>47</v>
      </c>
      <c r="W17" s="301"/>
      <c r="X17" s="301"/>
      <c r="Y17" s="301"/>
    </row>
    <row r="18" spans="1:26" ht="21" customHeight="1">
      <c r="A18" s="56" t="s">
        <v>63</v>
      </c>
      <c r="B18" s="56"/>
      <c r="C18" s="445">
        <v>43</v>
      </c>
      <c r="D18" s="275">
        <v>31</v>
      </c>
      <c r="E18" s="275">
        <v>82</v>
      </c>
      <c r="F18" s="275"/>
      <c r="G18" s="275">
        <f t="shared" si="1"/>
        <v>156</v>
      </c>
      <c r="H18" s="88"/>
      <c r="I18" s="88"/>
      <c r="J18" s="131">
        <f t="shared" si="2"/>
        <v>156</v>
      </c>
      <c r="K18" s="88"/>
      <c r="L18" s="806"/>
      <c r="M18" s="113" t="s">
        <v>41</v>
      </c>
      <c r="N18" s="110" t="s">
        <v>42</v>
      </c>
      <c r="O18" s="110" t="s">
        <v>43</v>
      </c>
      <c r="P18" s="110" t="s">
        <v>25</v>
      </c>
      <c r="Q18" s="110" t="s">
        <v>44</v>
      </c>
      <c r="R18" s="808"/>
      <c r="S18" s="88"/>
      <c r="T18" s="88"/>
      <c r="U18" s="306">
        <v>39</v>
      </c>
      <c r="V18" s="301">
        <v>88</v>
      </c>
      <c r="W18" s="301"/>
      <c r="X18" s="301"/>
      <c r="Y18" s="301"/>
    </row>
    <row r="19" spans="1:26" ht="21" customHeight="1">
      <c r="A19" s="254" t="s">
        <v>64</v>
      </c>
      <c r="B19" s="63"/>
      <c r="C19" s="693">
        <v>41</v>
      </c>
      <c r="D19" s="273">
        <v>32</v>
      </c>
      <c r="E19" s="273"/>
      <c r="F19" s="273"/>
      <c r="G19" s="273">
        <f t="shared" si="1"/>
        <v>73</v>
      </c>
      <c r="H19" s="88"/>
      <c r="I19" s="88"/>
      <c r="J19" s="131">
        <f t="shared" si="2"/>
        <v>73</v>
      </c>
      <c r="K19" s="88"/>
      <c r="L19" s="126" t="s">
        <v>46</v>
      </c>
      <c r="M19" s="127"/>
      <c r="N19" s="127"/>
      <c r="O19" s="127">
        <f>B20</f>
        <v>0</v>
      </c>
      <c r="P19" s="127"/>
      <c r="Q19" s="127">
        <f>B29</f>
        <v>0</v>
      </c>
      <c r="R19" s="127">
        <f t="shared" ref="R19:R29" si="4">SUM(M19:Q19)</f>
        <v>0</v>
      </c>
      <c r="S19" s="88"/>
      <c r="T19" s="88"/>
      <c r="U19" s="306">
        <v>34</v>
      </c>
      <c r="V19" s="301"/>
      <c r="W19" s="301"/>
      <c r="X19" s="301"/>
      <c r="Y19" s="301"/>
    </row>
    <row r="20" spans="1:26" ht="21" customHeight="1">
      <c r="A20" s="60" t="s">
        <v>6</v>
      </c>
      <c r="B20" s="49">
        <f t="shared" ref="B20:G20" si="5">SUM(B6:B19)</f>
        <v>0</v>
      </c>
      <c r="C20" s="49">
        <f t="shared" si="5"/>
        <v>632</v>
      </c>
      <c r="D20" s="49">
        <f t="shared" si="5"/>
        <v>521</v>
      </c>
      <c r="E20" s="49">
        <f t="shared" si="5"/>
        <v>1167</v>
      </c>
      <c r="F20" s="49">
        <f t="shared" si="5"/>
        <v>873</v>
      </c>
      <c r="G20" s="49">
        <f t="shared" si="5"/>
        <v>3193</v>
      </c>
      <c r="H20" s="135"/>
      <c r="I20" s="135"/>
      <c r="J20" s="135"/>
      <c r="K20" s="135">
        <f>615+836+1173+526+696</f>
        <v>3846</v>
      </c>
      <c r="L20" s="126" t="s">
        <v>48</v>
      </c>
      <c r="M20" s="127"/>
      <c r="N20" s="127">
        <f>B111</f>
        <v>0</v>
      </c>
      <c r="O20" s="127"/>
      <c r="P20" s="127"/>
      <c r="Q20" s="127"/>
      <c r="R20" s="127">
        <f t="shared" si="4"/>
        <v>0</v>
      </c>
      <c r="S20" s="135"/>
      <c r="T20" s="135"/>
      <c r="U20" s="568">
        <f>SUM(U6:U19)</f>
        <v>612</v>
      </c>
      <c r="V20" s="301">
        <f>SUM(V6:V19)</f>
        <v>1215</v>
      </c>
      <c r="W20" s="301">
        <f>SUM(W6:W19)</f>
        <v>859</v>
      </c>
      <c r="X20" s="471">
        <f>SUM(X6:X19)</f>
        <v>633</v>
      </c>
      <c r="Y20" s="301">
        <f>SUM(Y6:Y19)</f>
        <v>390</v>
      </c>
      <c r="Z20" s="306"/>
    </row>
    <row r="21" spans="1:26" ht="21" hidden="1" customHeight="1">
      <c r="A21" s="65" t="s">
        <v>14</v>
      </c>
      <c r="B21" s="65"/>
      <c r="C21" s="541"/>
      <c r="D21" s="279"/>
      <c r="E21" s="279"/>
      <c r="F21" s="279"/>
      <c r="G21" s="279"/>
      <c r="H21" s="88"/>
      <c r="I21" s="88"/>
      <c r="J21" s="88"/>
      <c r="K21" s="88"/>
      <c r="L21" s="126" t="s">
        <v>48</v>
      </c>
      <c r="M21" s="127"/>
      <c r="N21" s="127"/>
      <c r="O21" s="127"/>
      <c r="P21" s="127"/>
      <c r="Q21" s="127"/>
      <c r="R21" s="127">
        <f t="shared" si="4"/>
        <v>0</v>
      </c>
      <c r="S21" s="88"/>
      <c r="T21" s="88"/>
    </row>
    <row r="22" spans="1:26" ht="21" hidden="1" customHeight="1">
      <c r="A22" s="65" t="s">
        <v>65</v>
      </c>
      <c r="B22" s="65"/>
      <c r="C22" s="541"/>
      <c r="D22" s="279"/>
      <c r="E22" s="279"/>
      <c r="F22" s="279"/>
      <c r="G22" s="279"/>
      <c r="H22" s="88"/>
      <c r="I22" s="88"/>
      <c r="J22" s="88"/>
      <c r="K22" s="88"/>
      <c r="L22" s="126" t="s">
        <v>46</v>
      </c>
      <c r="M22" s="127"/>
      <c r="N22" s="127"/>
      <c r="O22" s="127"/>
      <c r="P22" s="127"/>
      <c r="Q22" s="127"/>
      <c r="R22" s="127">
        <f t="shared" si="4"/>
        <v>0</v>
      </c>
      <c r="S22" s="88"/>
      <c r="T22" s="88"/>
    </row>
    <row r="23" spans="1:26" ht="21" hidden="1" customHeight="1">
      <c r="A23" s="60" t="s">
        <v>6</v>
      </c>
      <c r="B23" s="60"/>
      <c r="C23" s="542"/>
      <c r="D23" s="49">
        <f>SUM(D22)</f>
        <v>0</v>
      </c>
      <c r="E23" s="49">
        <f>SUM(E22)</f>
        <v>0</v>
      </c>
      <c r="F23" s="49">
        <f>SUM(F22)</f>
        <v>0</v>
      </c>
      <c r="G23" s="49">
        <f>SUM(G22)</f>
        <v>0</v>
      </c>
      <c r="H23" s="135"/>
      <c r="I23" s="135"/>
      <c r="J23" s="135"/>
      <c r="K23" s="135"/>
      <c r="L23" s="126" t="s">
        <v>48</v>
      </c>
      <c r="M23" s="127"/>
      <c r="N23" s="127"/>
      <c r="O23" s="127"/>
      <c r="P23" s="127"/>
      <c r="Q23" s="127"/>
      <c r="R23" s="127">
        <f t="shared" si="4"/>
        <v>0</v>
      </c>
      <c r="S23" s="135"/>
      <c r="T23" s="135"/>
    </row>
    <row r="24" spans="1:26" ht="21" customHeight="1">
      <c r="A24" s="543" t="s">
        <v>16</v>
      </c>
      <c r="B24" s="543"/>
      <c r="C24" s="541"/>
      <c r="D24" s="279"/>
      <c r="E24" s="279"/>
      <c r="F24" s="279"/>
      <c r="G24" s="279"/>
      <c r="H24" s="88"/>
      <c r="I24" s="88"/>
      <c r="J24" s="88"/>
      <c r="K24" s="88"/>
      <c r="L24" s="126" t="s">
        <v>50</v>
      </c>
      <c r="M24" s="127">
        <f>B130</f>
        <v>0</v>
      </c>
      <c r="N24" s="127">
        <f>B124</f>
        <v>0</v>
      </c>
      <c r="O24" s="127"/>
      <c r="P24" s="127"/>
      <c r="Q24" s="127"/>
      <c r="R24" s="127">
        <f t="shared" si="4"/>
        <v>0</v>
      </c>
      <c r="S24" s="88"/>
      <c r="T24" s="88"/>
    </row>
    <row r="25" spans="1:26" ht="21" customHeight="1">
      <c r="A25" s="65" t="s">
        <v>66</v>
      </c>
      <c r="B25" s="65"/>
      <c r="C25" s="541"/>
      <c r="D25" s="279"/>
      <c r="E25" s="279">
        <v>5</v>
      </c>
      <c r="F25" s="279"/>
      <c r="G25" s="275">
        <f>SUM(B25:F25)</f>
        <v>5</v>
      </c>
      <c r="H25" s="88"/>
      <c r="I25" s="88"/>
      <c r="J25" s="88"/>
      <c r="K25" s="88"/>
      <c r="L25" s="49" t="s">
        <v>6</v>
      </c>
      <c r="M25" s="49">
        <f t="shared" ref="M25:Q26" si="6">SUM(M19:M24)</f>
        <v>0</v>
      </c>
      <c r="N25" s="49">
        <f t="shared" si="6"/>
        <v>0</v>
      </c>
      <c r="O25" s="49">
        <f t="shared" si="6"/>
        <v>0</v>
      </c>
      <c r="P25" s="49">
        <f t="shared" si="6"/>
        <v>0</v>
      </c>
      <c r="Q25" s="49">
        <f t="shared" si="6"/>
        <v>0</v>
      </c>
      <c r="R25" s="49">
        <f t="shared" si="4"/>
        <v>0</v>
      </c>
      <c r="S25" s="88"/>
      <c r="T25" s="88"/>
      <c r="U25" s="306"/>
      <c r="V25" s="301">
        <v>6</v>
      </c>
      <c r="W25" s="301"/>
      <c r="X25" s="301"/>
      <c r="Y25" s="301">
        <f>SUM(U25:X25)</f>
        <v>6</v>
      </c>
      <c r="Z25" s="306"/>
    </row>
    <row r="26" spans="1:26" ht="21" customHeight="1">
      <c r="A26" s="65" t="s">
        <v>67</v>
      </c>
      <c r="B26" s="694"/>
      <c r="C26" s="541"/>
      <c r="D26" s="279"/>
      <c r="E26" s="279"/>
      <c r="F26" s="279"/>
      <c r="G26" s="275">
        <f>SUM(B26:F26)</f>
        <v>0</v>
      </c>
      <c r="H26" s="88"/>
      <c r="I26" s="88"/>
      <c r="J26" s="88"/>
      <c r="K26" s="88"/>
      <c r="L26" s="49" t="s">
        <v>6</v>
      </c>
      <c r="M26" s="49">
        <f t="shared" si="6"/>
        <v>0</v>
      </c>
      <c r="N26" s="49">
        <f t="shared" si="6"/>
        <v>0</v>
      </c>
      <c r="O26" s="49">
        <f t="shared" si="6"/>
        <v>0</v>
      </c>
      <c r="P26" s="49">
        <f t="shared" si="6"/>
        <v>0</v>
      </c>
      <c r="Q26" s="49">
        <f t="shared" si="6"/>
        <v>0</v>
      </c>
      <c r="R26" s="49">
        <f t="shared" ref="R26" si="7">SUM(M26:Q26)</f>
        <v>0</v>
      </c>
      <c r="S26" s="88"/>
      <c r="T26" s="88"/>
      <c r="U26" s="306"/>
      <c r="V26" s="301">
        <v>6</v>
      </c>
      <c r="W26" s="301"/>
      <c r="X26" s="301"/>
      <c r="Y26" s="301">
        <f>SUM(U26:X26)</f>
        <v>6</v>
      </c>
      <c r="Z26" s="306"/>
    </row>
    <row r="27" spans="1:26" ht="21" customHeight="1">
      <c r="A27" s="65" t="s">
        <v>68</v>
      </c>
      <c r="B27" s="65"/>
      <c r="C27" s="541"/>
      <c r="D27" s="279">
        <v>5</v>
      </c>
      <c r="E27" s="279"/>
      <c r="F27" s="279">
        <v>15</v>
      </c>
      <c r="G27" s="275">
        <f>SUM(B27:F27)</f>
        <v>20</v>
      </c>
      <c r="H27" s="88"/>
      <c r="I27" s="88"/>
      <c r="J27" s="88"/>
      <c r="K27" s="88"/>
      <c r="L27" s="126" t="s">
        <v>53</v>
      </c>
      <c r="M27" s="127"/>
      <c r="N27" s="127">
        <f>B42</f>
        <v>0</v>
      </c>
      <c r="O27" s="127"/>
      <c r="P27" s="127">
        <f>B47</f>
        <v>0</v>
      </c>
      <c r="Q27" s="127">
        <f>B50</f>
        <v>0</v>
      </c>
      <c r="R27" s="127">
        <f t="shared" si="4"/>
        <v>0</v>
      </c>
      <c r="S27" s="88"/>
      <c r="T27" s="88"/>
      <c r="U27" s="306">
        <v>6</v>
      </c>
      <c r="V27" s="301"/>
      <c r="W27" s="301">
        <v>19</v>
      </c>
      <c r="X27" s="301"/>
      <c r="Y27" s="301">
        <f>SUM(U27:X27)</f>
        <v>25</v>
      </c>
      <c r="Z27" s="306"/>
    </row>
    <row r="28" spans="1:26" ht="21" customHeight="1">
      <c r="A28" s="65" t="s">
        <v>69</v>
      </c>
      <c r="B28" s="65"/>
      <c r="C28" s="541"/>
      <c r="D28" s="279"/>
      <c r="E28" s="279"/>
      <c r="F28" s="279">
        <v>5</v>
      </c>
      <c r="G28" s="279">
        <f>SUM(B28:F28)</f>
        <v>5</v>
      </c>
      <c r="H28" s="88"/>
      <c r="I28" s="88"/>
      <c r="J28" s="88"/>
      <c r="K28" s="88"/>
      <c r="L28" s="126" t="s">
        <v>55</v>
      </c>
      <c r="M28" s="127"/>
      <c r="N28" s="127">
        <f>B78</f>
        <v>0</v>
      </c>
      <c r="O28" s="127"/>
      <c r="P28" s="127"/>
      <c r="Q28" s="127"/>
      <c r="R28" s="127">
        <f t="shared" si="4"/>
        <v>0</v>
      </c>
      <c r="S28" s="88"/>
      <c r="T28" s="88"/>
      <c r="U28" s="306"/>
      <c r="V28" s="301"/>
      <c r="W28" s="301">
        <v>9</v>
      </c>
      <c r="X28" s="301"/>
      <c r="Y28" s="301">
        <f>SUM(U28:X28)</f>
        <v>9</v>
      </c>
      <c r="Z28" s="306"/>
    </row>
    <row r="29" spans="1:26" ht="21" customHeight="1">
      <c r="A29" s="60" t="s">
        <v>6</v>
      </c>
      <c r="B29" s="49">
        <f t="shared" ref="B29:G29" si="8">SUM(B25:B28)</f>
        <v>0</v>
      </c>
      <c r="C29" s="49">
        <f t="shared" si="8"/>
        <v>0</v>
      </c>
      <c r="D29" s="49">
        <f t="shared" si="8"/>
        <v>5</v>
      </c>
      <c r="E29" s="49">
        <f t="shared" si="8"/>
        <v>5</v>
      </c>
      <c r="F29" s="49">
        <f t="shared" si="8"/>
        <v>20</v>
      </c>
      <c r="G29" s="49">
        <f t="shared" si="8"/>
        <v>30</v>
      </c>
      <c r="H29" s="135"/>
      <c r="I29" s="135"/>
      <c r="J29" s="135"/>
      <c r="K29" s="135"/>
      <c r="L29" s="126" t="s">
        <v>57</v>
      </c>
      <c r="M29" s="127">
        <f>B73</f>
        <v>0</v>
      </c>
      <c r="N29" s="127">
        <f>B62</f>
        <v>0</v>
      </c>
      <c r="O29" s="127"/>
      <c r="P29" s="127"/>
      <c r="Q29" s="127"/>
      <c r="R29" s="127">
        <f t="shared" si="4"/>
        <v>0</v>
      </c>
      <c r="S29" s="135"/>
      <c r="T29" s="135"/>
      <c r="U29" s="306">
        <f>SUM(U25:U28)</f>
        <v>6</v>
      </c>
      <c r="V29" s="301">
        <f>SUM(V25:V28)</f>
        <v>12</v>
      </c>
      <c r="W29" s="301">
        <f>SUM(W25:W28)</f>
        <v>28</v>
      </c>
      <c r="Y29" s="306">
        <f>SUM(U29:X29)</f>
        <v>46</v>
      </c>
      <c r="Z29" s="306"/>
    </row>
    <row r="30" spans="1:26" ht="21" customHeight="1">
      <c r="A30" s="61" t="s">
        <v>70</v>
      </c>
      <c r="B30" s="49">
        <f>SUM(B42,B50,B47)</f>
        <v>0</v>
      </c>
      <c r="C30" s="49">
        <f t="shared" ref="C30:G30" si="9">SUM(C42,C50,C47)</f>
        <v>389</v>
      </c>
      <c r="D30" s="49">
        <f t="shared" si="9"/>
        <v>311</v>
      </c>
      <c r="E30" s="49">
        <f t="shared" si="9"/>
        <v>308</v>
      </c>
      <c r="F30" s="49">
        <f t="shared" si="9"/>
        <v>96</v>
      </c>
      <c r="G30" s="49">
        <f t="shared" si="9"/>
        <v>1104</v>
      </c>
      <c r="H30" s="135">
        <f>1708-20</f>
        <v>1688</v>
      </c>
      <c r="I30" s="135"/>
      <c r="J30" s="135"/>
      <c r="K30" s="135"/>
      <c r="L30" s="129" t="s">
        <v>6</v>
      </c>
      <c r="M30" s="49">
        <f t="shared" ref="M30:R30" si="10">SUM(M27:M29)</f>
        <v>0</v>
      </c>
      <c r="N30" s="49">
        <f t="shared" si="10"/>
        <v>0</v>
      </c>
      <c r="O30" s="49">
        <f t="shared" si="10"/>
        <v>0</v>
      </c>
      <c r="P30" s="49">
        <f t="shared" si="10"/>
        <v>0</v>
      </c>
      <c r="Q30" s="49">
        <f t="shared" si="10"/>
        <v>0</v>
      </c>
      <c r="R30" s="49">
        <f t="shared" si="10"/>
        <v>0</v>
      </c>
      <c r="S30" s="135"/>
      <c r="T30" s="135"/>
      <c r="W30" s="301">
        <f>G30</f>
        <v>1104</v>
      </c>
      <c r="X30" s="301">
        <f>G51</f>
        <v>706</v>
      </c>
      <c r="Y30" s="301">
        <f>G78</f>
        <v>525</v>
      </c>
      <c r="Z30" s="301"/>
    </row>
    <row r="31" spans="1:26" ht="21" customHeight="1">
      <c r="A31" s="67" t="s">
        <v>71</v>
      </c>
      <c r="B31" s="67"/>
      <c r="C31" s="554">
        <f>35+36</f>
        <v>71</v>
      </c>
      <c r="D31" s="439">
        <v>61</v>
      </c>
      <c r="E31" s="439">
        <v>61</v>
      </c>
      <c r="F31" s="439">
        <f>12+10</f>
        <v>22</v>
      </c>
      <c r="G31" s="439">
        <f t="shared" ref="G31:G41" si="11">SUM(B31:F31)</f>
        <v>215</v>
      </c>
      <c r="H31" s="131"/>
      <c r="I31" s="131">
        <v>1</v>
      </c>
      <c r="J31" s="131">
        <f t="shared" ref="J31:J41" si="12">SUM(C31:F31)</f>
        <v>215</v>
      </c>
      <c r="K31" s="131"/>
      <c r="L31" s="129" t="s">
        <v>21</v>
      </c>
      <c r="M31" s="49">
        <f t="shared" ref="M31:R31" si="13">SUM(M25,M30)</f>
        <v>0</v>
      </c>
      <c r="N31" s="49">
        <f t="shared" si="13"/>
        <v>0</v>
      </c>
      <c r="O31" s="49">
        <f t="shared" si="13"/>
        <v>0</v>
      </c>
      <c r="P31" s="49">
        <f t="shared" si="13"/>
        <v>0</v>
      </c>
      <c r="Q31" s="49">
        <f t="shared" si="13"/>
        <v>0</v>
      </c>
      <c r="R31" s="49">
        <f t="shared" si="13"/>
        <v>0</v>
      </c>
      <c r="S31" s="131"/>
      <c r="T31" s="131"/>
      <c r="U31" s="306">
        <v>93</v>
      </c>
      <c r="V31" s="301">
        <v>69</v>
      </c>
      <c r="W31" s="301">
        <v>72</v>
      </c>
      <c r="X31" s="301">
        <v>70</v>
      </c>
      <c r="Y31" s="301">
        <v>51</v>
      </c>
    </row>
    <row r="32" spans="1:26" ht="21" customHeight="1">
      <c r="A32" s="71" t="s">
        <v>72</v>
      </c>
      <c r="B32" s="71"/>
      <c r="C32" s="553">
        <f>35+48</f>
        <v>83</v>
      </c>
      <c r="D32" s="434">
        <f>35+22</f>
        <v>57</v>
      </c>
      <c r="E32" s="434">
        <f>32+30</f>
        <v>62</v>
      </c>
      <c r="F32" s="434">
        <f>6+3</f>
        <v>9</v>
      </c>
      <c r="G32" s="434">
        <f t="shared" si="11"/>
        <v>211</v>
      </c>
      <c r="H32" s="131"/>
      <c r="I32" s="131">
        <v>2</v>
      </c>
      <c r="J32" s="131">
        <f t="shared" si="12"/>
        <v>211</v>
      </c>
      <c r="K32" s="131"/>
      <c r="L32" s="136"/>
      <c r="M32" s="88"/>
      <c r="N32" s="88"/>
      <c r="O32" s="88"/>
      <c r="P32" s="88"/>
      <c r="Q32" s="88"/>
      <c r="R32" s="88"/>
      <c r="S32" s="131"/>
      <c r="T32" s="131"/>
      <c r="U32" s="306">
        <v>88</v>
      </c>
      <c r="V32" s="301">
        <v>69</v>
      </c>
      <c r="W32" s="301">
        <v>61</v>
      </c>
      <c r="X32" s="301">
        <v>37</v>
      </c>
      <c r="Y32" s="301">
        <v>24</v>
      </c>
    </row>
    <row r="33" spans="1:27" ht="21" customHeight="1">
      <c r="A33" s="71" t="s">
        <v>73</v>
      </c>
      <c r="B33" s="71"/>
      <c r="C33" s="552"/>
      <c r="D33" s="434"/>
      <c r="E33" s="434">
        <v>34</v>
      </c>
      <c r="F33" s="434">
        <v>5</v>
      </c>
      <c r="G33" s="434">
        <f t="shared" si="11"/>
        <v>39</v>
      </c>
      <c r="H33" s="131"/>
      <c r="I33" s="131">
        <v>3</v>
      </c>
      <c r="J33" s="131">
        <f t="shared" si="12"/>
        <v>39</v>
      </c>
      <c r="K33" s="131"/>
      <c r="L33" s="122" t="s">
        <v>74</v>
      </c>
      <c r="M33" s="88"/>
      <c r="N33" s="88"/>
      <c r="O33" s="88"/>
      <c r="P33" s="88"/>
      <c r="Q33" s="88"/>
      <c r="R33" s="88"/>
      <c r="S33" s="131"/>
      <c r="T33" s="131"/>
      <c r="U33" s="306"/>
      <c r="V33" s="301">
        <v>42</v>
      </c>
      <c r="W33" s="301">
        <v>61</v>
      </c>
      <c r="X33" s="301">
        <v>31</v>
      </c>
      <c r="Y33" s="301">
        <v>6</v>
      </c>
    </row>
    <row r="34" spans="1:27" ht="21" customHeight="1">
      <c r="A34" s="71" t="s">
        <v>54</v>
      </c>
      <c r="B34" s="71"/>
      <c r="C34" s="553">
        <v>36</v>
      </c>
      <c r="D34" s="434">
        <v>33</v>
      </c>
      <c r="E34" s="434"/>
      <c r="F34" s="434"/>
      <c r="G34" s="434">
        <f t="shared" si="11"/>
        <v>69</v>
      </c>
      <c r="H34" s="131"/>
      <c r="I34" s="131">
        <v>4</v>
      </c>
      <c r="J34" s="131">
        <f t="shared" si="12"/>
        <v>69</v>
      </c>
      <c r="K34" s="131"/>
      <c r="L34" s="130"/>
      <c r="M34" s="131"/>
      <c r="N34" s="131"/>
      <c r="O34" s="131"/>
      <c r="P34" s="131"/>
      <c r="Q34" s="131"/>
      <c r="R34" s="131"/>
      <c r="S34" s="131"/>
      <c r="T34" s="131"/>
      <c r="U34" s="306">
        <v>36</v>
      </c>
      <c r="V34" s="301"/>
      <c r="W34" s="301"/>
      <c r="X34" s="301"/>
      <c r="Y34" s="301">
        <v>1</v>
      </c>
    </row>
    <row r="35" spans="1:27" ht="21" customHeight="1">
      <c r="A35" s="71" t="s">
        <v>60</v>
      </c>
      <c r="B35" s="71"/>
      <c r="C35" s="553">
        <v>22</v>
      </c>
      <c r="D35" s="434">
        <v>14</v>
      </c>
      <c r="E35" s="434">
        <v>20</v>
      </c>
      <c r="F35" s="434">
        <f>32+15</f>
        <v>47</v>
      </c>
      <c r="G35" s="434">
        <f t="shared" si="11"/>
        <v>103</v>
      </c>
      <c r="H35" s="131"/>
      <c r="I35" s="131">
        <v>5</v>
      </c>
      <c r="J35" s="131">
        <f t="shared" si="12"/>
        <v>103</v>
      </c>
      <c r="K35" s="131"/>
      <c r="L35" s="130"/>
      <c r="M35" s="131"/>
      <c r="N35" s="131"/>
      <c r="O35" s="131"/>
      <c r="P35" s="131"/>
      <c r="Q35" s="131"/>
      <c r="R35" s="131"/>
      <c r="S35" s="131"/>
      <c r="T35" s="131"/>
      <c r="U35" s="306">
        <v>27</v>
      </c>
      <c r="V35" s="301">
        <v>23</v>
      </c>
      <c r="W35" s="301">
        <v>45</v>
      </c>
      <c r="X35" s="301">
        <v>38</v>
      </c>
      <c r="Y35" s="301">
        <v>10</v>
      </c>
    </row>
    <row r="36" spans="1:27" ht="21" customHeight="1">
      <c r="A36" s="71" t="s">
        <v>62</v>
      </c>
      <c r="B36" s="71"/>
      <c r="C36" s="553">
        <v>27</v>
      </c>
      <c r="D36" s="434">
        <v>26</v>
      </c>
      <c r="E36" s="434">
        <v>26</v>
      </c>
      <c r="F36" s="434">
        <v>2</v>
      </c>
      <c r="G36" s="434">
        <f t="shared" si="11"/>
        <v>81</v>
      </c>
      <c r="H36" s="131"/>
      <c r="I36" s="131">
        <v>6</v>
      </c>
      <c r="J36" s="131">
        <f t="shared" si="12"/>
        <v>81</v>
      </c>
      <c r="K36" s="131"/>
      <c r="L36" s="130"/>
      <c r="M36" s="131"/>
      <c r="N36" s="131"/>
      <c r="O36" s="131"/>
      <c r="P36" s="131"/>
      <c r="Q36" s="131"/>
      <c r="R36" s="131"/>
      <c r="S36" s="131"/>
      <c r="T36" s="131"/>
      <c r="U36" s="306">
        <v>43</v>
      </c>
      <c r="V36" s="301">
        <v>27</v>
      </c>
      <c r="W36" s="301">
        <v>37</v>
      </c>
      <c r="X36" s="301">
        <v>36</v>
      </c>
      <c r="Y36" s="301"/>
    </row>
    <row r="37" spans="1:27" ht="21" hidden="1" customHeight="1">
      <c r="A37" s="71" t="s">
        <v>75</v>
      </c>
      <c r="B37" s="71"/>
      <c r="C37" s="553"/>
      <c r="D37" s="434"/>
      <c r="E37" s="434"/>
      <c r="F37" s="434"/>
      <c r="G37" s="434">
        <f t="shared" si="11"/>
        <v>0</v>
      </c>
      <c r="H37" s="131"/>
      <c r="I37" s="131"/>
      <c r="J37" s="131">
        <f t="shared" si="12"/>
        <v>0</v>
      </c>
      <c r="K37" s="131"/>
      <c r="L37" s="130"/>
      <c r="M37" s="131"/>
      <c r="N37" s="131"/>
      <c r="O37" s="131"/>
      <c r="P37" s="131"/>
      <c r="Q37" s="131"/>
      <c r="R37" s="131"/>
      <c r="S37" s="131"/>
      <c r="T37" s="131"/>
      <c r="U37" s="306"/>
      <c r="V37" s="301"/>
      <c r="W37" s="301"/>
      <c r="X37" s="301"/>
      <c r="Y37" s="301"/>
    </row>
    <row r="38" spans="1:27" ht="21" customHeight="1">
      <c r="A38" s="71" t="s">
        <v>76</v>
      </c>
      <c r="B38" s="71"/>
      <c r="C38" s="553">
        <v>41</v>
      </c>
      <c r="D38" s="434">
        <v>29</v>
      </c>
      <c r="E38" s="434">
        <v>32</v>
      </c>
      <c r="F38" s="434">
        <v>3</v>
      </c>
      <c r="G38" s="434">
        <f t="shared" si="11"/>
        <v>105</v>
      </c>
      <c r="H38" s="131"/>
      <c r="I38" s="131">
        <v>7</v>
      </c>
      <c r="J38" s="131">
        <f t="shared" si="12"/>
        <v>105</v>
      </c>
      <c r="K38" s="131"/>
      <c r="L38" s="130"/>
      <c r="M38" s="131"/>
      <c r="N38" s="131"/>
      <c r="O38" s="131"/>
      <c r="P38" s="131"/>
      <c r="Q38" s="131"/>
      <c r="R38" s="131"/>
      <c r="S38" s="131"/>
      <c r="T38" s="131"/>
      <c r="U38" s="306">
        <v>53</v>
      </c>
      <c r="V38" s="301">
        <v>37</v>
      </c>
      <c r="W38" s="301">
        <v>100</v>
      </c>
      <c r="X38" s="301">
        <v>46</v>
      </c>
      <c r="Y38" s="301">
        <v>12</v>
      </c>
    </row>
    <row r="39" spans="1:27" ht="21" customHeight="1">
      <c r="A39" s="67" t="s">
        <v>77</v>
      </c>
      <c r="B39" s="67"/>
      <c r="C39" s="554"/>
      <c r="D39" s="439"/>
      <c r="E39" s="439">
        <f>30+40</f>
        <v>70</v>
      </c>
      <c r="F39" s="439">
        <f>4+3</f>
        <v>7</v>
      </c>
      <c r="G39" s="434">
        <f t="shared" si="11"/>
        <v>77</v>
      </c>
      <c r="H39" s="131"/>
      <c r="I39" s="131">
        <v>8</v>
      </c>
      <c r="J39" s="131">
        <f t="shared" si="12"/>
        <v>77</v>
      </c>
      <c r="K39" s="131"/>
      <c r="L39" s="130"/>
      <c r="M39" s="131"/>
      <c r="N39" s="131"/>
      <c r="O39" s="131"/>
      <c r="P39" s="131"/>
      <c r="Q39" s="131"/>
      <c r="R39" s="131"/>
      <c r="S39" s="131"/>
      <c r="T39" s="131"/>
      <c r="U39" s="306"/>
      <c r="V39" s="301">
        <v>74</v>
      </c>
      <c r="W39" s="301">
        <v>92</v>
      </c>
      <c r="X39" s="301">
        <v>59</v>
      </c>
      <c r="Y39" s="301">
        <v>4</v>
      </c>
    </row>
    <row r="40" spans="1:27" ht="21" customHeight="1">
      <c r="A40" s="67" t="s">
        <v>78</v>
      </c>
      <c r="B40" s="67"/>
      <c r="C40" s="554">
        <f>43+39</f>
        <v>82</v>
      </c>
      <c r="D40" s="439">
        <f>34+23</f>
        <v>57</v>
      </c>
      <c r="E40" s="439"/>
      <c r="F40" s="439"/>
      <c r="G40" s="434">
        <f t="shared" si="11"/>
        <v>139</v>
      </c>
      <c r="H40" s="131"/>
      <c r="I40" s="131">
        <v>9</v>
      </c>
      <c r="J40" s="131">
        <f t="shared" si="12"/>
        <v>139</v>
      </c>
      <c r="K40" s="131"/>
      <c r="L40" s="130"/>
      <c r="M40" s="131"/>
      <c r="N40" s="131"/>
      <c r="O40" s="131"/>
      <c r="P40" s="131"/>
      <c r="Q40" s="131"/>
      <c r="R40" s="131"/>
      <c r="S40" s="131"/>
      <c r="T40" s="131"/>
      <c r="U40" s="306">
        <v>80</v>
      </c>
      <c r="V40" s="301"/>
      <c r="W40" s="301"/>
      <c r="X40" s="301"/>
      <c r="Y40" s="301"/>
    </row>
    <row r="41" spans="1:27" ht="21" customHeight="1">
      <c r="A41" s="67" t="s">
        <v>79</v>
      </c>
      <c r="B41" s="67"/>
      <c r="C41" s="554">
        <v>27</v>
      </c>
      <c r="D41" s="439">
        <v>26</v>
      </c>
      <c r="E41" s="439"/>
      <c r="F41" s="439">
        <v>1</v>
      </c>
      <c r="G41" s="439">
        <f t="shared" si="11"/>
        <v>54</v>
      </c>
      <c r="H41" s="131"/>
      <c r="I41" s="131">
        <v>10</v>
      </c>
      <c r="J41" s="131">
        <f t="shared" si="12"/>
        <v>54</v>
      </c>
      <c r="K41" s="131"/>
      <c r="L41" s="130"/>
      <c r="M41" s="131"/>
      <c r="N41" s="131"/>
      <c r="O41" s="131"/>
      <c r="P41" s="131"/>
      <c r="Q41" s="131"/>
      <c r="R41" s="131"/>
      <c r="S41" s="131"/>
      <c r="T41" s="131"/>
      <c r="U41" s="306">
        <v>32</v>
      </c>
      <c r="V41" s="301"/>
      <c r="W41" s="301"/>
      <c r="X41" s="301"/>
      <c r="Y41" s="301">
        <v>2</v>
      </c>
    </row>
    <row r="42" spans="1:27" ht="21" customHeight="1">
      <c r="A42" s="60" t="s">
        <v>6</v>
      </c>
      <c r="B42" s="49">
        <f t="shared" ref="B42:G42" si="14">SUM(B31:B41)</f>
        <v>0</v>
      </c>
      <c r="C42" s="49">
        <f t="shared" si="14"/>
        <v>389</v>
      </c>
      <c r="D42" s="49">
        <f t="shared" si="14"/>
        <v>303</v>
      </c>
      <c r="E42" s="49">
        <f t="shared" si="14"/>
        <v>305</v>
      </c>
      <c r="F42" s="49">
        <f t="shared" si="14"/>
        <v>96</v>
      </c>
      <c r="G42" s="49">
        <f t="shared" si="14"/>
        <v>1093</v>
      </c>
      <c r="H42" s="135"/>
      <c r="I42" s="135"/>
      <c r="J42" s="135"/>
      <c r="K42" s="135"/>
      <c r="L42" s="134"/>
      <c r="M42" s="135"/>
      <c r="N42" s="135"/>
      <c r="O42" s="135"/>
      <c r="P42" s="135"/>
      <c r="Q42" s="135"/>
      <c r="R42" s="135"/>
      <c r="S42" s="135"/>
      <c r="T42" s="135"/>
      <c r="U42" s="306">
        <f>SUM(U31:U41)</f>
        <v>452</v>
      </c>
      <c r="V42" s="301">
        <f>SUM(V31:V41)</f>
        <v>341</v>
      </c>
      <c r="W42" s="301">
        <f>SUM(W31:W41)</f>
        <v>468</v>
      </c>
      <c r="X42" s="301">
        <f>SUM(X31:X41)</f>
        <v>317</v>
      </c>
      <c r="Y42" s="301">
        <f>SUM(Y31:Y41)</f>
        <v>110</v>
      </c>
      <c r="Z42" s="301"/>
      <c r="AA42" s="301"/>
    </row>
    <row r="43" spans="1:27" ht="21" customHeight="1">
      <c r="A43" s="543" t="s">
        <v>14</v>
      </c>
      <c r="B43" s="543"/>
      <c r="C43" s="541"/>
      <c r="D43" s="279"/>
      <c r="E43" s="279"/>
      <c r="F43" s="279"/>
      <c r="G43" s="279"/>
      <c r="H43" s="88"/>
      <c r="I43" s="88"/>
      <c r="J43" s="88"/>
      <c r="K43" s="88"/>
      <c r="L43" s="136"/>
      <c r="M43" s="88"/>
      <c r="N43" s="88"/>
      <c r="O43" s="88"/>
      <c r="P43" s="88"/>
      <c r="Q43" s="88"/>
      <c r="R43" s="88"/>
      <c r="S43" s="88"/>
      <c r="T43" s="88"/>
    </row>
    <row r="44" spans="1:27" ht="21" customHeight="1">
      <c r="A44" s="65" t="s">
        <v>80</v>
      </c>
      <c r="B44" s="65"/>
      <c r="C44" s="541"/>
      <c r="D44" s="279"/>
      <c r="E44" s="279"/>
      <c r="F44" s="279"/>
      <c r="G44" s="279">
        <f>SUM(B44:F44)</f>
        <v>0</v>
      </c>
      <c r="H44" s="88"/>
      <c r="I44" s="88"/>
      <c r="J44" s="88"/>
      <c r="K44" s="88"/>
      <c r="L44" s="136"/>
      <c r="M44" s="88"/>
      <c r="N44" s="88"/>
      <c r="O44" s="88"/>
      <c r="P44" s="88"/>
      <c r="Q44" s="88"/>
      <c r="R44" s="88"/>
      <c r="S44" s="88"/>
      <c r="T44" s="88"/>
      <c r="U44" s="306"/>
      <c r="V44" s="301"/>
      <c r="W44" s="301"/>
      <c r="X44" s="301">
        <v>3</v>
      </c>
      <c r="Y44" s="301"/>
    </row>
    <row r="45" spans="1:27" ht="21" customHeight="1">
      <c r="A45" s="65" t="s">
        <v>62</v>
      </c>
      <c r="B45" s="694"/>
      <c r="C45" s="541"/>
      <c r="D45" s="279">
        <v>6</v>
      </c>
      <c r="E45" s="279"/>
      <c r="F45" s="279"/>
      <c r="G45" s="279">
        <f>SUM(B45:F45)</f>
        <v>6</v>
      </c>
      <c r="H45" s="562" t="s">
        <v>81</v>
      </c>
      <c r="I45" s="446"/>
      <c r="J45" s="446"/>
      <c r="K45" s="446"/>
      <c r="L45" s="137"/>
      <c r="M45" s="138"/>
      <c r="N45" s="138"/>
      <c r="O45" s="138"/>
      <c r="P45" s="138"/>
      <c r="Q45" s="138"/>
      <c r="R45" s="138"/>
      <c r="S45" s="446"/>
      <c r="T45" s="446"/>
      <c r="U45" s="306">
        <v>6</v>
      </c>
      <c r="V45" s="301"/>
      <c r="W45" s="301">
        <v>3</v>
      </c>
      <c r="X45" s="301"/>
      <c r="Y45" s="301"/>
    </row>
    <row r="46" spans="1:27" ht="21" customHeight="1">
      <c r="A46" s="65" t="s">
        <v>82</v>
      </c>
      <c r="B46" s="694"/>
      <c r="C46" s="541"/>
      <c r="D46" s="279">
        <v>2</v>
      </c>
      <c r="E46" s="279"/>
      <c r="F46" s="279"/>
      <c r="G46" s="279">
        <f>SUM(B46:F46)</f>
        <v>2</v>
      </c>
      <c r="H46" s="562" t="s">
        <v>81</v>
      </c>
      <c r="I46" s="446"/>
      <c r="J46" s="446"/>
      <c r="K46" s="446"/>
      <c r="L46" s="137"/>
      <c r="M46" s="138"/>
      <c r="N46" s="138"/>
      <c r="O46" s="138"/>
      <c r="P46" s="138"/>
      <c r="Q46" s="138"/>
      <c r="R46" s="138"/>
      <c r="S46" s="446"/>
      <c r="T46" s="446"/>
      <c r="U46" s="306">
        <v>2</v>
      </c>
      <c r="V46" s="301"/>
      <c r="W46" s="301">
        <v>3</v>
      </c>
      <c r="X46" s="301"/>
      <c r="Y46" s="301"/>
    </row>
    <row r="47" spans="1:27" ht="21" customHeight="1">
      <c r="A47" s="60" t="s">
        <v>6</v>
      </c>
      <c r="B47" s="49">
        <f t="shared" ref="B47:G47" si="15">SUM(B44:B46)</f>
        <v>0</v>
      </c>
      <c r="C47" s="49">
        <f t="shared" si="15"/>
        <v>0</v>
      </c>
      <c r="D47" s="49">
        <f t="shared" si="15"/>
        <v>8</v>
      </c>
      <c r="E47" s="49">
        <f t="shared" si="15"/>
        <v>0</v>
      </c>
      <c r="F47" s="49">
        <f t="shared" si="15"/>
        <v>0</v>
      </c>
      <c r="G47" s="49">
        <f t="shared" si="15"/>
        <v>8</v>
      </c>
      <c r="H47" s="135"/>
      <c r="I47" s="135"/>
      <c r="J47" s="135"/>
      <c r="K47" s="135"/>
      <c r="L47" s="134"/>
      <c r="M47" s="439">
        <v>21</v>
      </c>
      <c r="N47" s="439">
        <v>33</v>
      </c>
      <c r="O47" s="439">
        <f>4+2+1</f>
        <v>7</v>
      </c>
      <c r="P47" s="135">
        <f t="shared" ref="P47:P52" si="16">SUM(M47:O47)</f>
        <v>61</v>
      </c>
      <c r="Q47" s="135"/>
      <c r="R47" s="135"/>
      <c r="S47" s="135"/>
      <c r="T47" s="135"/>
      <c r="U47" s="306">
        <f>SUM(U44:U46)</f>
        <v>8</v>
      </c>
      <c r="W47" s="301">
        <f>SUM(W44:W46)</f>
        <v>6</v>
      </c>
      <c r="X47" s="301">
        <f>SUM(X44:X46)</f>
        <v>3</v>
      </c>
      <c r="Z47" s="306"/>
    </row>
    <row r="48" spans="1:27" ht="21" customHeight="1">
      <c r="A48" s="543" t="s">
        <v>16</v>
      </c>
      <c r="B48" s="543"/>
      <c r="C48" s="541"/>
      <c r="D48" s="279"/>
      <c r="E48" s="279"/>
      <c r="F48" s="279"/>
      <c r="G48" s="279"/>
      <c r="H48" s="88"/>
      <c r="I48" s="88"/>
      <c r="J48" s="88"/>
      <c r="K48" s="88"/>
      <c r="L48" s="136"/>
      <c r="M48" s="439">
        <v>19</v>
      </c>
      <c r="N48" s="439">
        <v>20</v>
      </c>
      <c r="O48" s="439">
        <f>4+3+1</f>
        <v>8</v>
      </c>
      <c r="P48" s="135">
        <f t="shared" si="16"/>
        <v>47</v>
      </c>
      <c r="Q48" s="88"/>
      <c r="R48" s="88"/>
      <c r="S48" s="88"/>
      <c r="T48" s="88"/>
    </row>
    <row r="49" spans="1:26" ht="21" customHeight="1">
      <c r="A49" s="65" t="s">
        <v>62</v>
      </c>
      <c r="B49" s="694"/>
      <c r="C49" s="541"/>
      <c r="D49" s="279"/>
      <c r="E49" s="279">
        <v>3</v>
      </c>
      <c r="F49" s="279"/>
      <c r="G49" s="279">
        <f>SUM(B49:F49)</f>
        <v>3</v>
      </c>
      <c r="H49" s="88"/>
      <c r="I49" s="88"/>
      <c r="J49" s="88"/>
      <c r="K49" s="88"/>
      <c r="L49" s="136"/>
      <c r="M49" s="439">
        <f>20+27</f>
        <v>47</v>
      </c>
      <c r="N49" s="439">
        <f>26+27+1</f>
        <v>54</v>
      </c>
      <c r="O49" s="439">
        <f>5+5+5</f>
        <v>15</v>
      </c>
      <c r="P49" s="135">
        <f t="shared" si="16"/>
        <v>116</v>
      </c>
      <c r="Q49" s="88"/>
      <c r="R49" s="88"/>
      <c r="S49" s="88"/>
      <c r="T49" s="88"/>
    </row>
    <row r="50" spans="1:26" ht="21" customHeight="1">
      <c r="A50" s="60" t="s">
        <v>6</v>
      </c>
      <c r="B50" s="49">
        <f t="shared" ref="B50:G50" si="17">SUM(B49:B49)</f>
        <v>0</v>
      </c>
      <c r="C50" s="49">
        <f t="shared" si="17"/>
        <v>0</v>
      </c>
      <c r="D50" s="49">
        <f t="shared" si="17"/>
        <v>0</v>
      </c>
      <c r="E50" s="49">
        <f t="shared" si="17"/>
        <v>3</v>
      </c>
      <c r="F50" s="49">
        <f t="shared" si="17"/>
        <v>0</v>
      </c>
      <c r="G50" s="49">
        <f t="shared" si="17"/>
        <v>3</v>
      </c>
      <c r="H50" s="135"/>
      <c r="I50" s="135"/>
      <c r="J50" s="135"/>
      <c r="K50" s="135"/>
      <c r="L50" s="134"/>
      <c r="M50" s="439">
        <v>12</v>
      </c>
      <c r="N50" s="439">
        <v>11</v>
      </c>
      <c r="O50" s="439">
        <v>5</v>
      </c>
      <c r="P50" s="135">
        <f t="shared" si="16"/>
        <v>28</v>
      </c>
      <c r="Q50" s="135"/>
      <c r="R50" s="135"/>
      <c r="S50" s="135"/>
      <c r="T50" s="135"/>
    </row>
    <row r="51" spans="1:26" ht="21" customHeight="1">
      <c r="A51" s="266" t="s">
        <v>83</v>
      </c>
      <c r="B51" s="488">
        <f>SUM(B62,B73,B77)</f>
        <v>0</v>
      </c>
      <c r="C51" s="488">
        <f t="shared" ref="C51:G51" si="18">SUM(C62,C73,C77)</f>
        <v>286</v>
      </c>
      <c r="D51" s="488">
        <f t="shared" si="18"/>
        <v>239</v>
      </c>
      <c r="E51" s="488">
        <f t="shared" si="18"/>
        <v>131</v>
      </c>
      <c r="F51" s="488">
        <f t="shared" si="18"/>
        <v>50</v>
      </c>
      <c r="G51" s="488">
        <f t="shared" si="18"/>
        <v>706</v>
      </c>
      <c r="H51" s="140"/>
      <c r="I51" s="140"/>
      <c r="J51" s="140"/>
      <c r="K51" s="140"/>
      <c r="L51" s="139"/>
      <c r="M51" s="439">
        <f>19+7</f>
        <v>26</v>
      </c>
      <c r="N51" s="439">
        <v>14</v>
      </c>
      <c r="O51" s="439">
        <f>2+2</f>
        <v>4</v>
      </c>
      <c r="P51" s="135">
        <f t="shared" si="16"/>
        <v>44</v>
      </c>
      <c r="Q51" s="140"/>
      <c r="R51" s="140"/>
      <c r="S51" s="140"/>
      <c r="T51" s="140"/>
      <c r="W51" s="301">
        <f>G51</f>
        <v>706</v>
      </c>
      <c r="Z51" s="47">
        <f>1294+870</f>
        <v>2164</v>
      </c>
    </row>
    <row r="52" spans="1:26" ht="21" customHeight="1">
      <c r="A52" s="67" t="s">
        <v>84</v>
      </c>
      <c r="B52" s="67"/>
      <c r="C52" s="554"/>
      <c r="D52" s="439"/>
      <c r="E52" s="439">
        <v>19</v>
      </c>
      <c r="F52" s="439">
        <v>7</v>
      </c>
      <c r="G52" s="439">
        <f t="shared" ref="G52:G61" si="19">SUM(B52:F52)</f>
        <v>26</v>
      </c>
      <c r="H52" s="131"/>
      <c r="I52" s="131"/>
      <c r="J52" s="131">
        <f t="shared" ref="J52:J61" si="20">SUM(C52:F52)</f>
        <v>26</v>
      </c>
      <c r="K52" s="131"/>
      <c r="L52" s="130"/>
      <c r="M52" s="468">
        <v>16</v>
      </c>
      <c r="N52" s="468">
        <v>35</v>
      </c>
      <c r="O52" s="468">
        <f>23+8</f>
        <v>31</v>
      </c>
      <c r="P52" s="135">
        <f t="shared" si="16"/>
        <v>82</v>
      </c>
      <c r="Q52" s="131"/>
      <c r="R52" s="131"/>
      <c r="S52" s="131"/>
      <c r="T52" s="131"/>
      <c r="U52" s="306">
        <v>39</v>
      </c>
      <c r="V52" s="301">
        <v>26</v>
      </c>
      <c r="W52" s="301">
        <v>35</v>
      </c>
      <c r="X52" s="301">
        <v>15</v>
      </c>
      <c r="Y52" s="301">
        <v>4</v>
      </c>
    </row>
    <row r="53" spans="1:26" ht="21" customHeight="1">
      <c r="A53" s="67" t="s">
        <v>85</v>
      </c>
      <c r="B53" s="67"/>
      <c r="C53" s="554">
        <v>16</v>
      </c>
      <c r="D53" s="439">
        <v>26</v>
      </c>
      <c r="E53" s="439">
        <v>18</v>
      </c>
      <c r="F53" s="439">
        <v>4</v>
      </c>
      <c r="G53" s="439">
        <f t="shared" si="19"/>
        <v>64</v>
      </c>
      <c r="H53" s="131"/>
      <c r="I53" s="131"/>
      <c r="J53" s="131">
        <f t="shared" si="20"/>
        <v>64</v>
      </c>
      <c r="K53" s="131"/>
      <c r="L53" s="130" t="s">
        <v>86</v>
      </c>
      <c r="M53" s="131"/>
      <c r="N53" s="131"/>
      <c r="O53" s="131"/>
      <c r="P53" s="131">
        <f>SUM(P47:P52)</f>
        <v>378</v>
      </c>
      <c r="Q53" s="131"/>
      <c r="R53" s="131"/>
      <c r="S53" s="131"/>
      <c r="T53" s="131"/>
      <c r="U53" s="306">
        <v>45</v>
      </c>
      <c r="V53" s="301">
        <v>21</v>
      </c>
      <c r="W53" s="301">
        <v>22</v>
      </c>
      <c r="X53" s="301">
        <v>18</v>
      </c>
      <c r="Y53" s="301">
        <v>7</v>
      </c>
    </row>
    <row r="54" spans="1:26" ht="21" customHeight="1">
      <c r="A54" s="67" t="s">
        <v>87</v>
      </c>
      <c r="B54" s="67"/>
      <c r="C54" s="554">
        <f>30+31</f>
        <v>61</v>
      </c>
      <c r="D54" s="439">
        <f>25+17</f>
        <v>42</v>
      </c>
      <c r="E54" s="439">
        <f>25+20</f>
        <v>45</v>
      </c>
      <c r="F54" s="439">
        <f>7+6</f>
        <v>13</v>
      </c>
      <c r="G54" s="439">
        <f t="shared" si="19"/>
        <v>161</v>
      </c>
      <c r="H54" s="131"/>
      <c r="I54" s="131"/>
      <c r="J54" s="131">
        <f t="shared" si="20"/>
        <v>161</v>
      </c>
      <c r="K54" s="131"/>
      <c r="L54" s="130"/>
      <c r="M54" s="131"/>
      <c r="N54" s="131"/>
      <c r="O54" s="131"/>
      <c r="P54" s="131"/>
      <c r="Q54" s="131"/>
      <c r="R54" s="131"/>
      <c r="S54" s="131"/>
      <c r="T54" s="131"/>
      <c r="U54" s="306">
        <v>85</v>
      </c>
      <c r="V54" s="301">
        <v>52</v>
      </c>
      <c r="W54" s="301">
        <v>51</v>
      </c>
      <c r="X54" s="301">
        <v>53</v>
      </c>
      <c r="Y54" s="301">
        <v>15</v>
      </c>
    </row>
    <row r="55" spans="1:26" ht="21" customHeight="1">
      <c r="A55" s="67" t="s">
        <v>89</v>
      </c>
      <c r="B55" s="67"/>
      <c r="C55" s="554">
        <v>15</v>
      </c>
      <c r="D55" s="439">
        <v>26</v>
      </c>
      <c r="E55" s="439">
        <v>13</v>
      </c>
      <c r="F55" s="439">
        <v>2</v>
      </c>
      <c r="G55" s="439">
        <f t="shared" si="19"/>
        <v>56</v>
      </c>
      <c r="H55" s="131"/>
      <c r="I55" s="131"/>
      <c r="J55" s="131">
        <f t="shared" si="20"/>
        <v>56</v>
      </c>
      <c r="K55" s="131"/>
      <c r="L55" s="130"/>
      <c r="M55" s="131"/>
      <c r="N55" s="131"/>
      <c r="O55" s="131"/>
      <c r="P55" s="131"/>
      <c r="Q55" s="131"/>
      <c r="R55" s="131"/>
      <c r="S55" s="131"/>
      <c r="T55" s="131"/>
      <c r="U55" s="306">
        <v>36</v>
      </c>
      <c r="V55" s="301"/>
      <c r="W55" s="301"/>
      <c r="X55" s="301"/>
      <c r="Y55" s="301"/>
    </row>
    <row r="56" spans="1:26" ht="21" customHeight="1">
      <c r="A56" s="67" t="s">
        <v>90</v>
      </c>
      <c r="B56" s="67"/>
      <c r="C56" s="554">
        <v>21</v>
      </c>
      <c r="D56" s="439">
        <v>31</v>
      </c>
      <c r="E56" s="439"/>
      <c r="F56" s="439"/>
      <c r="G56" s="439">
        <f t="shared" si="19"/>
        <v>52</v>
      </c>
      <c r="H56" s="131"/>
      <c r="I56" s="131"/>
      <c r="J56" s="131">
        <f t="shared" si="20"/>
        <v>52</v>
      </c>
      <c r="K56" s="131"/>
      <c r="L56" s="130"/>
      <c r="M56" s="131"/>
      <c r="N56" s="131"/>
      <c r="O56" s="131"/>
      <c r="P56" s="131"/>
      <c r="Q56" s="131"/>
      <c r="R56" s="131"/>
      <c r="S56" s="131"/>
      <c r="T56" s="131"/>
      <c r="U56" s="306">
        <v>46</v>
      </c>
      <c r="V56" s="301"/>
      <c r="W56" s="301"/>
      <c r="X56" s="301"/>
      <c r="Y56" s="301"/>
    </row>
    <row r="57" spans="1:26" ht="21" customHeight="1">
      <c r="A57" s="67" t="s">
        <v>91</v>
      </c>
      <c r="B57" s="67"/>
      <c r="C57" s="554">
        <v>31</v>
      </c>
      <c r="D57" s="439">
        <v>20</v>
      </c>
      <c r="E57" s="439"/>
      <c r="F57" s="439"/>
      <c r="G57" s="439">
        <f t="shared" si="19"/>
        <v>51</v>
      </c>
      <c r="H57" s="131"/>
      <c r="I57" s="131"/>
      <c r="J57" s="131">
        <f t="shared" si="20"/>
        <v>51</v>
      </c>
      <c r="K57" s="131"/>
      <c r="L57" s="130"/>
      <c r="M57" s="131"/>
      <c r="N57" s="131"/>
      <c r="O57" s="131"/>
      <c r="P57" s="131"/>
      <c r="Q57" s="131"/>
      <c r="R57" s="131"/>
      <c r="S57" s="131"/>
      <c r="T57" s="131"/>
      <c r="U57" s="306">
        <v>44</v>
      </c>
      <c r="V57" s="301"/>
      <c r="W57" s="301"/>
      <c r="X57" s="301"/>
      <c r="Y57" s="301"/>
    </row>
    <row r="58" spans="1:26" ht="21" customHeight="1">
      <c r="A58" s="67" t="s">
        <v>92</v>
      </c>
      <c r="B58" s="67"/>
      <c r="C58" s="554">
        <v>29</v>
      </c>
      <c r="D58" s="439">
        <v>27</v>
      </c>
      <c r="E58" s="439"/>
      <c r="F58" s="439"/>
      <c r="G58" s="439">
        <f t="shared" si="19"/>
        <v>56</v>
      </c>
      <c r="H58" s="131"/>
      <c r="I58" s="131"/>
      <c r="J58" s="131">
        <f t="shared" si="20"/>
        <v>56</v>
      </c>
      <c r="K58" s="131"/>
      <c r="L58" s="130"/>
      <c r="M58" s="131">
        <f>G58+G59</f>
        <v>95</v>
      </c>
      <c r="N58" s="131"/>
      <c r="O58" s="131"/>
      <c r="P58" s="131"/>
      <c r="Q58" s="131"/>
      <c r="R58" s="131"/>
      <c r="S58" s="131"/>
      <c r="T58" s="131"/>
      <c r="U58" s="306"/>
      <c r="V58" s="301">
        <v>13</v>
      </c>
      <c r="W58" s="301">
        <v>12</v>
      </c>
      <c r="X58" s="301">
        <v>8</v>
      </c>
      <c r="Y58" s="301"/>
    </row>
    <row r="59" spans="1:26" ht="21" customHeight="1">
      <c r="A59" s="67" t="s">
        <v>93</v>
      </c>
      <c r="B59" s="67"/>
      <c r="C59" s="554">
        <v>17</v>
      </c>
      <c r="D59" s="439">
        <v>22</v>
      </c>
      <c r="E59" s="439"/>
      <c r="F59" s="439"/>
      <c r="G59" s="439">
        <f t="shared" si="19"/>
        <v>39</v>
      </c>
      <c r="H59" s="131"/>
      <c r="I59" s="131"/>
      <c r="J59" s="131">
        <f t="shared" si="20"/>
        <v>39</v>
      </c>
      <c r="K59" s="131"/>
      <c r="L59" s="130"/>
      <c r="M59" s="131"/>
      <c r="N59" s="131"/>
      <c r="O59" s="131"/>
      <c r="P59" s="131"/>
      <c r="Q59" s="131"/>
      <c r="R59" s="131"/>
      <c r="S59" s="131"/>
      <c r="T59" s="131"/>
      <c r="U59" s="306"/>
      <c r="V59" s="301">
        <v>13</v>
      </c>
      <c r="W59" s="301">
        <v>12</v>
      </c>
      <c r="X59" s="301">
        <v>8</v>
      </c>
      <c r="Y59" s="301"/>
    </row>
    <row r="60" spans="1:26" ht="21" customHeight="1">
      <c r="A60" s="67" t="s">
        <v>94</v>
      </c>
      <c r="B60" s="67"/>
      <c r="C60" s="554">
        <v>11</v>
      </c>
      <c r="D60" s="439">
        <v>19</v>
      </c>
      <c r="E60" s="439">
        <f>19+1</f>
        <v>20</v>
      </c>
      <c r="F60" s="439">
        <v>10</v>
      </c>
      <c r="G60" s="439">
        <f t="shared" si="19"/>
        <v>60</v>
      </c>
      <c r="H60" s="131"/>
      <c r="I60" s="131"/>
      <c r="J60" s="131">
        <f t="shared" si="20"/>
        <v>60</v>
      </c>
      <c r="K60" s="131"/>
      <c r="L60" s="130"/>
      <c r="M60" s="131"/>
      <c r="N60" s="131"/>
      <c r="O60" s="131"/>
      <c r="P60" s="131"/>
      <c r="Q60" s="131"/>
      <c r="R60" s="131"/>
      <c r="S60" s="131"/>
      <c r="T60" s="131"/>
      <c r="U60" s="306">
        <v>32</v>
      </c>
      <c r="V60" s="301">
        <v>21</v>
      </c>
      <c r="W60" s="301">
        <v>17</v>
      </c>
      <c r="X60" s="301">
        <v>22</v>
      </c>
      <c r="Y60" s="301">
        <v>4</v>
      </c>
    </row>
    <row r="61" spans="1:26" ht="21" customHeight="1">
      <c r="A61" s="68" t="s">
        <v>95</v>
      </c>
      <c r="B61" s="68"/>
      <c r="C61" s="575"/>
      <c r="D61" s="468"/>
      <c r="E61" s="468">
        <v>13</v>
      </c>
      <c r="F61" s="468">
        <v>14</v>
      </c>
      <c r="G61" s="468">
        <f t="shared" si="19"/>
        <v>27</v>
      </c>
      <c r="H61" s="131"/>
      <c r="I61" s="131"/>
      <c r="J61" s="131">
        <f t="shared" si="20"/>
        <v>27</v>
      </c>
      <c r="K61" s="131"/>
      <c r="L61" s="130"/>
      <c r="M61" s="131"/>
      <c r="N61" s="131"/>
      <c r="O61" s="131"/>
      <c r="P61" s="131"/>
      <c r="Q61" s="131"/>
      <c r="R61" s="131"/>
      <c r="S61" s="131"/>
      <c r="T61" s="131"/>
      <c r="U61" s="306">
        <v>48</v>
      </c>
      <c r="V61" s="301">
        <v>26</v>
      </c>
      <c r="W61" s="301">
        <v>36</v>
      </c>
      <c r="X61" s="301">
        <v>37</v>
      </c>
      <c r="Y61" s="301">
        <v>21</v>
      </c>
    </row>
    <row r="62" spans="1:26" ht="21" customHeight="1">
      <c r="A62" s="556" t="s">
        <v>96</v>
      </c>
      <c r="B62" s="488">
        <f t="shared" ref="B62:G62" si="21">SUM(B52:B61)</f>
        <v>0</v>
      </c>
      <c r="C62" s="488">
        <f t="shared" si="21"/>
        <v>201</v>
      </c>
      <c r="D62" s="488">
        <f t="shared" si="21"/>
        <v>213</v>
      </c>
      <c r="E62" s="488">
        <f t="shared" si="21"/>
        <v>128</v>
      </c>
      <c r="F62" s="488">
        <f t="shared" si="21"/>
        <v>50</v>
      </c>
      <c r="G62" s="488">
        <f t="shared" si="21"/>
        <v>592</v>
      </c>
      <c r="H62" s="140"/>
      <c r="I62" s="140"/>
      <c r="J62" s="140"/>
      <c r="K62" s="140"/>
      <c r="L62" s="139"/>
      <c r="M62" s="140"/>
      <c r="N62" s="140"/>
      <c r="O62" s="140"/>
      <c r="P62" s="140"/>
      <c r="Q62" s="140"/>
      <c r="R62" s="140"/>
      <c r="S62" s="140"/>
      <c r="T62" s="140"/>
      <c r="U62" s="306">
        <f>SUM(U52:U61)</f>
        <v>375</v>
      </c>
      <c r="V62" s="301">
        <f>SUM(V52:V61)</f>
        <v>172</v>
      </c>
      <c r="W62" s="301">
        <f>SUM(W52:W61)</f>
        <v>185</v>
      </c>
      <c r="X62" s="301">
        <f>SUM(X52:X61)</f>
        <v>161</v>
      </c>
      <c r="Y62" s="301">
        <f>SUM(Y52:Y61)</f>
        <v>51</v>
      </c>
      <c r="Z62" s="306"/>
    </row>
    <row r="63" spans="1:26" ht="21" customHeight="1">
      <c r="A63" s="67" t="s">
        <v>97</v>
      </c>
      <c r="B63" s="67"/>
      <c r="C63" s="439"/>
      <c r="D63" s="439"/>
      <c r="E63" s="439"/>
      <c r="F63" s="439"/>
      <c r="G63" s="439">
        <f t="shared" ref="G63:G72" si="22">SUM(B63:F63)</f>
        <v>0</v>
      </c>
      <c r="H63" s="131"/>
      <c r="I63" s="131"/>
      <c r="J63" s="131">
        <f t="shared" ref="J63:J72" si="23">SUM(C63:F63)</f>
        <v>0</v>
      </c>
      <c r="K63" s="131"/>
      <c r="L63" s="130"/>
      <c r="M63" s="131"/>
      <c r="N63" s="131"/>
      <c r="O63" s="131"/>
      <c r="P63" s="131"/>
      <c r="Q63" s="131"/>
      <c r="R63" s="131"/>
      <c r="S63" s="131"/>
      <c r="T63" s="131"/>
      <c r="U63" s="306">
        <v>33</v>
      </c>
      <c r="V63" s="301">
        <v>26</v>
      </c>
      <c r="W63" s="301">
        <v>4</v>
      </c>
      <c r="X63" s="301"/>
      <c r="Y63" s="301">
        <v>1</v>
      </c>
    </row>
    <row r="64" spans="1:26" ht="21" customHeight="1">
      <c r="A64" s="71" t="s">
        <v>98</v>
      </c>
      <c r="B64" s="71"/>
      <c r="C64" s="553"/>
      <c r="D64" s="434"/>
      <c r="E64" s="434"/>
      <c r="F64" s="434"/>
      <c r="G64" s="434">
        <f t="shared" si="22"/>
        <v>0</v>
      </c>
      <c r="H64" s="131"/>
      <c r="I64" s="131"/>
      <c r="J64" s="131">
        <f t="shared" si="23"/>
        <v>0</v>
      </c>
      <c r="K64" s="131"/>
      <c r="L64" s="130"/>
      <c r="M64" s="131"/>
      <c r="N64" s="131"/>
      <c r="O64" s="131"/>
      <c r="P64" s="131"/>
      <c r="Q64" s="131"/>
      <c r="R64" s="131"/>
      <c r="S64" s="131"/>
      <c r="T64" s="131"/>
      <c r="U64" s="306"/>
      <c r="V64" s="301"/>
      <c r="W64" s="301"/>
      <c r="X64" s="301"/>
      <c r="Y64" s="301"/>
    </row>
    <row r="65" spans="1:25" ht="21" customHeight="1">
      <c r="A65" s="71" t="s">
        <v>99</v>
      </c>
      <c r="B65" s="71"/>
      <c r="C65" s="553">
        <v>8</v>
      </c>
      <c r="D65" s="434"/>
      <c r="E65" s="434"/>
      <c r="F65" s="434"/>
      <c r="G65" s="434">
        <f t="shared" si="22"/>
        <v>8</v>
      </c>
      <c r="H65" s="131"/>
      <c r="I65" s="131"/>
      <c r="J65" s="131">
        <f t="shared" si="23"/>
        <v>8</v>
      </c>
      <c r="K65" s="131"/>
      <c r="L65" s="130"/>
      <c r="M65" s="131"/>
      <c r="N65" s="131"/>
      <c r="O65" s="131"/>
      <c r="P65" s="131"/>
      <c r="Q65" s="131"/>
      <c r="R65" s="131"/>
      <c r="S65" s="131"/>
      <c r="T65" s="131"/>
      <c r="U65" s="306"/>
      <c r="V65" s="301"/>
      <c r="W65" s="301"/>
      <c r="X65" s="301"/>
      <c r="Y65" s="301"/>
    </row>
    <row r="66" spans="1:25" ht="21" customHeight="1">
      <c r="A66" s="67" t="s">
        <v>93</v>
      </c>
      <c r="B66" s="67"/>
      <c r="C66" s="554">
        <v>8</v>
      </c>
      <c r="D66" s="439">
        <v>9</v>
      </c>
      <c r="E66" s="439"/>
      <c r="F66" s="439"/>
      <c r="G66" s="434">
        <f t="shared" si="22"/>
        <v>17</v>
      </c>
      <c r="H66" s="131"/>
      <c r="I66" s="131"/>
      <c r="J66" s="131">
        <f t="shared" si="23"/>
        <v>17</v>
      </c>
      <c r="K66" s="131"/>
      <c r="L66" s="130"/>
      <c r="M66" s="131"/>
      <c r="N66" s="131"/>
      <c r="O66" s="131"/>
      <c r="P66" s="131"/>
      <c r="Q66" s="131"/>
      <c r="R66" s="131"/>
      <c r="S66" s="131"/>
      <c r="T66" s="131"/>
      <c r="U66" s="306"/>
      <c r="V66" s="301">
        <v>13</v>
      </c>
      <c r="W66" s="301">
        <v>12</v>
      </c>
      <c r="X66" s="301">
        <v>8</v>
      </c>
      <c r="Y66" s="301"/>
    </row>
    <row r="67" spans="1:25" ht="21" customHeight="1">
      <c r="A67" s="67" t="s">
        <v>92</v>
      </c>
      <c r="B67" s="67"/>
      <c r="C67" s="554">
        <v>28</v>
      </c>
      <c r="D67" s="439">
        <v>1</v>
      </c>
      <c r="E67" s="439"/>
      <c r="F67" s="439"/>
      <c r="G67" s="434">
        <f t="shared" si="22"/>
        <v>29</v>
      </c>
      <c r="H67" s="131"/>
      <c r="I67" s="131"/>
      <c r="J67" s="131">
        <f t="shared" si="23"/>
        <v>29</v>
      </c>
      <c r="K67" s="131"/>
      <c r="L67" s="130"/>
      <c r="M67" s="131"/>
      <c r="N67" s="131"/>
      <c r="O67" s="131"/>
      <c r="P67" s="131"/>
      <c r="Q67" s="131"/>
      <c r="R67" s="131"/>
      <c r="S67" s="131"/>
      <c r="T67" s="131"/>
      <c r="U67" s="306"/>
      <c r="V67" s="301">
        <v>13</v>
      </c>
      <c r="W67" s="301">
        <v>12</v>
      </c>
      <c r="X67" s="301">
        <v>8</v>
      </c>
      <c r="Y67" s="301"/>
    </row>
    <row r="68" spans="1:25" ht="21" customHeight="1">
      <c r="A68" s="67" t="s">
        <v>91</v>
      </c>
      <c r="B68" s="67"/>
      <c r="C68" s="554">
        <v>31</v>
      </c>
      <c r="D68" s="439">
        <v>14</v>
      </c>
      <c r="E68" s="439"/>
      <c r="F68" s="439"/>
      <c r="G68" s="434">
        <f t="shared" si="22"/>
        <v>45</v>
      </c>
      <c r="H68" s="131"/>
      <c r="I68" s="131"/>
      <c r="J68" s="131">
        <f t="shared" si="23"/>
        <v>45</v>
      </c>
      <c r="K68" s="131"/>
      <c r="L68" s="130"/>
      <c r="M68" s="131"/>
      <c r="N68" s="131"/>
      <c r="O68" s="131"/>
      <c r="P68" s="131"/>
      <c r="Q68" s="131"/>
      <c r="R68" s="131"/>
      <c r="S68" s="131"/>
      <c r="T68" s="131"/>
      <c r="U68" s="306">
        <v>25</v>
      </c>
      <c r="V68" s="301"/>
      <c r="W68" s="301"/>
      <c r="X68" s="301"/>
      <c r="Y68" s="301"/>
    </row>
    <row r="69" spans="1:25" ht="21" customHeight="1">
      <c r="A69" s="71" t="s">
        <v>102</v>
      </c>
      <c r="B69" s="71"/>
      <c r="C69" s="553"/>
      <c r="D69" s="434"/>
      <c r="E69" s="434"/>
      <c r="F69" s="434"/>
      <c r="G69" s="434">
        <f t="shared" si="22"/>
        <v>0</v>
      </c>
      <c r="H69" s="131"/>
      <c r="I69" s="131"/>
      <c r="J69" s="131">
        <f t="shared" si="23"/>
        <v>0</v>
      </c>
      <c r="K69" s="131"/>
      <c r="L69" s="130"/>
      <c r="M69" s="131"/>
      <c r="N69" s="131"/>
      <c r="O69" s="131"/>
      <c r="P69" s="131"/>
      <c r="Q69" s="131"/>
      <c r="R69" s="131"/>
      <c r="S69" s="131"/>
      <c r="T69" s="131"/>
      <c r="U69" s="306"/>
      <c r="V69" s="301">
        <v>18</v>
      </c>
      <c r="W69" s="301">
        <v>11</v>
      </c>
      <c r="X69" s="301"/>
      <c r="Y69" s="301"/>
    </row>
    <row r="70" spans="1:25" ht="21" customHeight="1">
      <c r="A70" s="71" t="s">
        <v>103</v>
      </c>
      <c r="B70" s="71"/>
      <c r="C70" s="553"/>
      <c r="D70" s="434"/>
      <c r="E70" s="434"/>
      <c r="F70" s="434"/>
      <c r="G70" s="434">
        <f t="shared" si="22"/>
        <v>0</v>
      </c>
      <c r="H70" s="131"/>
      <c r="I70" s="131"/>
      <c r="J70" s="131">
        <f t="shared" si="23"/>
        <v>0</v>
      </c>
      <c r="K70" s="131"/>
      <c r="L70" s="130"/>
      <c r="M70" s="131"/>
      <c r="N70" s="131"/>
      <c r="O70" s="131"/>
      <c r="P70" s="131"/>
      <c r="Q70" s="131"/>
      <c r="R70" s="131"/>
      <c r="S70" s="131"/>
      <c r="T70" s="131"/>
      <c r="U70" s="306">
        <v>40</v>
      </c>
      <c r="V70" s="301">
        <v>39</v>
      </c>
      <c r="W70" s="301">
        <v>42</v>
      </c>
      <c r="X70" s="301">
        <v>1</v>
      </c>
      <c r="Y70" s="301"/>
    </row>
    <row r="71" spans="1:25" ht="21" customHeight="1">
      <c r="A71" s="71" t="s">
        <v>104</v>
      </c>
      <c r="B71" s="71"/>
      <c r="C71" s="553">
        <v>10</v>
      </c>
      <c r="D71" s="434">
        <v>2</v>
      </c>
      <c r="E71" s="434"/>
      <c r="F71" s="434"/>
      <c r="G71" s="434">
        <f t="shared" si="22"/>
        <v>12</v>
      </c>
      <c r="H71" s="131"/>
      <c r="I71" s="131"/>
      <c r="J71" s="131">
        <f t="shared" si="23"/>
        <v>12</v>
      </c>
      <c r="K71" s="131"/>
      <c r="L71" s="130"/>
      <c r="M71" s="131"/>
      <c r="N71" s="131"/>
      <c r="O71" s="131"/>
      <c r="P71" s="131"/>
      <c r="Q71" s="131"/>
      <c r="R71" s="131"/>
      <c r="S71" s="131"/>
      <c r="T71" s="131"/>
      <c r="U71" s="306">
        <v>21</v>
      </c>
      <c r="V71" s="301">
        <v>33</v>
      </c>
      <c r="W71" s="301">
        <v>16</v>
      </c>
      <c r="X71" s="301">
        <v>2</v>
      </c>
      <c r="Y71" s="301"/>
    </row>
    <row r="72" spans="1:25" ht="21" customHeight="1">
      <c r="A72" s="69" t="s">
        <v>105</v>
      </c>
      <c r="B72" s="69"/>
      <c r="C72" s="569"/>
      <c r="D72" s="497"/>
      <c r="E72" s="497"/>
      <c r="F72" s="497"/>
      <c r="G72" s="497">
        <f t="shared" si="22"/>
        <v>0</v>
      </c>
      <c r="H72" s="131"/>
      <c r="I72" s="131"/>
      <c r="J72" s="131">
        <f t="shared" si="23"/>
        <v>0</v>
      </c>
      <c r="K72" s="131"/>
      <c r="L72" s="130"/>
      <c r="M72" s="131"/>
      <c r="N72" s="131"/>
      <c r="O72" s="131"/>
      <c r="P72" s="131"/>
      <c r="Q72" s="131"/>
      <c r="R72" s="131"/>
      <c r="S72" s="131"/>
      <c r="T72" s="131"/>
      <c r="U72" s="306"/>
      <c r="V72" s="301">
        <v>15</v>
      </c>
      <c r="W72" s="301">
        <v>2</v>
      </c>
      <c r="X72" s="301"/>
      <c r="Y72" s="301"/>
    </row>
    <row r="73" spans="1:25" ht="21" customHeight="1">
      <c r="A73" s="60" t="s">
        <v>106</v>
      </c>
      <c r="B73" s="49">
        <f t="shared" ref="B73:G73" si="24">SUM(B63:B72)</f>
        <v>0</v>
      </c>
      <c r="C73" s="49">
        <f t="shared" si="24"/>
        <v>85</v>
      </c>
      <c r="D73" s="49">
        <f t="shared" si="24"/>
        <v>26</v>
      </c>
      <c r="E73" s="49">
        <f t="shared" si="24"/>
        <v>0</v>
      </c>
      <c r="F73" s="49">
        <f t="shared" si="24"/>
        <v>0</v>
      </c>
      <c r="G73" s="49">
        <f t="shared" si="24"/>
        <v>111</v>
      </c>
      <c r="H73" s="135"/>
      <c r="I73" s="135"/>
      <c r="J73" s="135"/>
      <c r="K73" s="135"/>
      <c r="L73" s="134"/>
      <c r="M73" s="135"/>
      <c r="N73" s="135"/>
      <c r="O73" s="135"/>
      <c r="P73" s="135"/>
      <c r="Q73" s="135"/>
      <c r="R73" s="135"/>
      <c r="S73" s="135"/>
      <c r="T73" s="135"/>
      <c r="U73" s="518">
        <f>SUM(U63:U72)</f>
        <v>119</v>
      </c>
      <c r="V73" s="301">
        <f>SUM(V63:V72)</f>
        <v>157</v>
      </c>
      <c r="W73" s="301">
        <f>SUM(W63:W72)</f>
        <v>99</v>
      </c>
      <c r="X73" s="301">
        <f>SUM(X63:X72)</f>
        <v>19</v>
      </c>
      <c r="Y73" s="301">
        <f>SUM(Y63:Y72)</f>
        <v>1</v>
      </c>
    </row>
    <row r="74" spans="1:25" ht="21" customHeight="1">
      <c r="A74" s="67" t="s">
        <v>14</v>
      </c>
      <c r="B74" s="67"/>
      <c r="C74" s="554"/>
      <c r="D74" s="439"/>
      <c r="E74" s="439"/>
      <c r="F74" s="439"/>
      <c r="G74" s="439"/>
      <c r="H74" s="131"/>
      <c r="I74" s="131"/>
      <c r="J74" s="131"/>
      <c r="K74" s="131"/>
      <c r="L74" s="130"/>
      <c r="M74" s="131"/>
      <c r="N74" s="131"/>
      <c r="O74" s="131"/>
      <c r="P74" s="131"/>
      <c r="Q74" s="131"/>
      <c r="R74" s="131"/>
      <c r="S74" s="131"/>
      <c r="T74" s="131"/>
    </row>
    <row r="75" spans="1:25" ht="21" customHeight="1">
      <c r="A75" s="71" t="s">
        <v>107</v>
      </c>
      <c r="B75" s="71"/>
      <c r="C75" s="553"/>
      <c r="D75" s="434"/>
      <c r="E75" s="434">
        <v>3</v>
      </c>
      <c r="F75" s="434"/>
      <c r="G75" s="434">
        <f>SUM(B75:F75)</f>
        <v>3</v>
      </c>
      <c r="H75" s="131"/>
      <c r="I75" s="131"/>
      <c r="J75" s="131"/>
      <c r="K75" s="131"/>
      <c r="L75" s="130"/>
      <c r="M75" s="131"/>
      <c r="N75" s="131"/>
      <c r="O75" s="131"/>
      <c r="P75" s="131"/>
      <c r="Q75" s="131"/>
      <c r="R75" s="131"/>
      <c r="S75" s="131"/>
      <c r="T75" s="131"/>
    </row>
    <row r="76" spans="1:25" ht="21" customHeight="1">
      <c r="A76" s="69"/>
      <c r="B76" s="69"/>
      <c r="C76" s="569"/>
      <c r="D76" s="497"/>
      <c r="E76" s="497"/>
      <c r="F76" s="497"/>
      <c r="G76" s="497"/>
      <c r="H76" s="131"/>
      <c r="I76" s="131"/>
      <c r="J76" s="131"/>
      <c r="K76" s="131"/>
      <c r="L76" s="130"/>
      <c r="M76" s="131"/>
      <c r="N76" s="131"/>
      <c r="O76" s="131"/>
      <c r="P76" s="131"/>
      <c r="Q76" s="131"/>
      <c r="R76" s="131"/>
      <c r="S76" s="131"/>
      <c r="T76" s="131"/>
    </row>
    <row r="77" spans="1:25" ht="21" customHeight="1">
      <c r="A77" s="60" t="s">
        <v>6</v>
      </c>
      <c r="B77" s="49">
        <f t="shared" ref="B77:G77" si="25">SUM(B75:B76)</f>
        <v>0</v>
      </c>
      <c r="C77" s="49">
        <f t="shared" si="25"/>
        <v>0</v>
      </c>
      <c r="D77" s="49">
        <f t="shared" si="25"/>
        <v>0</v>
      </c>
      <c r="E77" s="49">
        <f t="shared" si="25"/>
        <v>3</v>
      </c>
      <c r="F77" s="49">
        <f t="shared" si="25"/>
        <v>0</v>
      </c>
      <c r="G77" s="49">
        <f t="shared" si="25"/>
        <v>3</v>
      </c>
      <c r="H77" s="135"/>
      <c r="I77" s="135"/>
      <c r="J77" s="135"/>
      <c r="K77" s="135"/>
      <c r="L77" s="134"/>
      <c r="M77" s="135"/>
      <c r="N77" s="135"/>
      <c r="O77" s="135"/>
      <c r="P77" s="135"/>
      <c r="Q77" s="135"/>
      <c r="R77" s="135"/>
      <c r="S77" s="135"/>
      <c r="T77" s="135"/>
    </row>
    <row r="78" spans="1:25" ht="21" customHeight="1">
      <c r="A78" s="266" t="s">
        <v>108</v>
      </c>
      <c r="B78" s="488">
        <f t="shared" ref="B78:G78" si="26">SUM(B79:B96)</f>
        <v>0</v>
      </c>
      <c r="C78" s="488">
        <f t="shared" si="26"/>
        <v>188</v>
      </c>
      <c r="D78" s="488">
        <f t="shared" si="26"/>
        <v>160</v>
      </c>
      <c r="E78" s="488">
        <f t="shared" si="26"/>
        <v>111</v>
      </c>
      <c r="F78" s="488">
        <f t="shared" si="26"/>
        <v>66</v>
      </c>
      <c r="G78" s="488">
        <f t="shared" si="26"/>
        <v>525</v>
      </c>
      <c r="H78" s="140"/>
      <c r="I78" s="140"/>
      <c r="J78" s="140"/>
      <c r="K78" s="140">
        <f>136+113+168+271</f>
        <v>688</v>
      </c>
      <c r="L78" s="139"/>
      <c r="M78" s="140"/>
      <c r="N78" s="140"/>
      <c r="O78" s="140"/>
      <c r="P78" s="140"/>
      <c r="Q78" s="140"/>
      <c r="R78" s="140"/>
      <c r="S78" s="140"/>
      <c r="T78" s="140"/>
      <c r="W78" s="301">
        <f>G78</f>
        <v>525</v>
      </c>
    </row>
    <row r="79" spans="1:25" ht="21" customHeight="1">
      <c r="A79" s="67" t="s">
        <v>55</v>
      </c>
      <c r="B79" s="67"/>
      <c r="C79" s="554">
        <f>41+42</f>
        <v>83</v>
      </c>
      <c r="D79" s="439">
        <f>40+35</f>
        <v>75</v>
      </c>
      <c r="E79" s="439">
        <f>62</f>
        <v>62</v>
      </c>
      <c r="F79" s="439">
        <f>25+9</f>
        <v>34</v>
      </c>
      <c r="G79" s="439">
        <f>SUM(B79:F86)</f>
        <v>254</v>
      </c>
      <c r="H79" s="131"/>
      <c r="I79" s="131"/>
      <c r="J79" s="131">
        <f t="shared" ref="J79:J110" si="27">SUM(C79:F79)</f>
        <v>254</v>
      </c>
      <c r="K79" s="131"/>
      <c r="L79" s="130"/>
      <c r="M79" s="131"/>
      <c r="N79" s="131"/>
      <c r="O79" s="131"/>
      <c r="P79" s="131"/>
      <c r="Q79" s="131"/>
      <c r="R79" s="131"/>
      <c r="S79" s="131"/>
      <c r="T79" s="131"/>
      <c r="U79" s="306">
        <v>119</v>
      </c>
      <c r="V79" s="301">
        <v>65</v>
      </c>
      <c r="W79" s="301">
        <v>88</v>
      </c>
      <c r="X79" s="301">
        <v>36</v>
      </c>
      <c r="Y79" s="301">
        <v>3</v>
      </c>
    </row>
    <row r="80" spans="1:25" ht="21" hidden="1" customHeight="1">
      <c r="A80" s="71" t="s">
        <v>109</v>
      </c>
      <c r="B80" s="71"/>
      <c r="C80" s="553"/>
      <c r="D80" s="434"/>
      <c r="E80" s="434"/>
      <c r="F80" s="434"/>
      <c r="G80" s="434"/>
      <c r="H80" s="131"/>
      <c r="I80" s="131"/>
      <c r="J80" s="131">
        <f t="shared" si="27"/>
        <v>0</v>
      </c>
      <c r="K80" s="131"/>
      <c r="L80" s="130"/>
      <c r="M80" s="131"/>
      <c r="N80" s="131"/>
      <c r="O80" s="131"/>
      <c r="P80" s="131"/>
      <c r="Q80" s="131"/>
      <c r="R80" s="131"/>
      <c r="S80" s="131"/>
      <c r="T80" s="131"/>
      <c r="U80" s="306"/>
      <c r="V80" s="301"/>
      <c r="W80" s="301"/>
      <c r="X80" s="301"/>
      <c r="Y80" s="301"/>
    </row>
    <row r="81" spans="1:25" ht="21" hidden="1" customHeight="1">
      <c r="A81" s="71" t="s">
        <v>110</v>
      </c>
      <c r="B81" s="71"/>
      <c r="C81" s="553"/>
      <c r="D81" s="434"/>
      <c r="E81" s="434"/>
      <c r="F81" s="434"/>
      <c r="G81" s="434"/>
      <c r="H81" s="131"/>
      <c r="I81" s="131"/>
      <c r="J81" s="131">
        <f t="shared" si="27"/>
        <v>0</v>
      </c>
      <c r="K81" s="131"/>
      <c r="L81" s="130"/>
      <c r="M81" s="131"/>
      <c r="N81" s="131"/>
      <c r="O81" s="131"/>
      <c r="P81" s="131"/>
      <c r="Q81" s="131"/>
      <c r="R81" s="131"/>
      <c r="S81" s="131"/>
      <c r="T81" s="131"/>
      <c r="U81" s="306"/>
      <c r="V81" s="301"/>
      <c r="W81" s="301"/>
      <c r="X81" s="301"/>
      <c r="Y81" s="301"/>
    </row>
    <row r="82" spans="1:25" ht="21" hidden="1" customHeight="1">
      <c r="A82" s="71" t="s">
        <v>111</v>
      </c>
      <c r="B82" s="71"/>
      <c r="C82" s="553"/>
      <c r="D82" s="434"/>
      <c r="E82" s="434"/>
      <c r="F82" s="434"/>
      <c r="G82" s="434"/>
      <c r="H82" s="131"/>
      <c r="I82" s="131"/>
      <c r="J82" s="131">
        <f t="shared" si="27"/>
        <v>0</v>
      </c>
      <c r="K82" s="131"/>
      <c r="L82" s="130"/>
      <c r="M82" s="131"/>
      <c r="N82" s="131"/>
      <c r="O82" s="131"/>
      <c r="P82" s="131"/>
      <c r="Q82" s="131"/>
      <c r="R82" s="131"/>
      <c r="S82" s="131"/>
      <c r="T82" s="131"/>
      <c r="U82" s="306"/>
      <c r="V82" s="301"/>
      <c r="W82" s="301"/>
      <c r="X82" s="301"/>
      <c r="Y82" s="301"/>
    </row>
    <row r="83" spans="1:25" ht="21" hidden="1" customHeight="1">
      <c r="A83" s="71" t="s">
        <v>112</v>
      </c>
      <c r="B83" s="71"/>
      <c r="C83" s="553"/>
      <c r="D83" s="434"/>
      <c r="E83" s="434"/>
      <c r="F83" s="434"/>
      <c r="G83" s="434"/>
      <c r="H83" s="131"/>
      <c r="I83" s="131"/>
      <c r="J83" s="131">
        <f t="shared" si="27"/>
        <v>0</v>
      </c>
      <c r="K83" s="131"/>
      <c r="L83" s="130"/>
      <c r="M83" s="131"/>
      <c r="N83" s="131"/>
      <c r="O83" s="131"/>
      <c r="P83" s="131"/>
      <c r="Q83" s="131"/>
      <c r="R83" s="131"/>
      <c r="S83" s="131"/>
      <c r="T83" s="131"/>
      <c r="U83" s="306"/>
      <c r="V83" s="301"/>
      <c r="W83" s="301"/>
      <c r="X83" s="301"/>
      <c r="Y83" s="301"/>
    </row>
    <row r="84" spans="1:25" ht="21" hidden="1" customHeight="1">
      <c r="A84" s="71" t="s">
        <v>113</v>
      </c>
      <c r="B84" s="71"/>
      <c r="C84" s="553"/>
      <c r="D84" s="434"/>
      <c r="E84" s="434"/>
      <c r="F84" s="434"/>
      <c r="G84" s="434"/>
      <c r="H84" s="131"/>
      <c r="I84" s="131"/>
      <c r="J84" s="131">
        <f t="shared" si="27"/>
        <v>0</v>
      </c>
      <c r="K84" s="131"/>
      <c r="L84" s="130"/>
      <c r="M84" s="131"/>
      <c r="N84" s="131"/>
      <c r="O84" s="131"/>
      <c r="P84" s="131"/>
      <c r="Q84" s="131"/>
      <c r="R84" s="131"/>
      <c r="S84" s="131"/>
      <c r="T84" s="131"/>
      <c r="U84" s="306"/>
      <c r="V84" s="301"/>
      <c r="W84" s="301"/>
      <c r="X84" s="301"/>
      <c r="Y84" s="301"/>
    </row>
    <row r="85" spans="1:25" ht="21" hidden="1" customHeight="1">
      <c r="A85" s="71" t="s">
        <v>59</v>
      </c>
      <c r="B85" s="71"/>
      <c r="C85" s="553"/>
      <c r="D85" s="434"/>
      <c r="E85" s="434"/>
      <c r="F85" s="434"/>
      <c r="G85" s="434"/>
      <c r="H85" s="131"/>
      <c r="I85" s="131"/>
      <c r="J85" s="131">
        <f t="shared" si="27"/>
        <v>0</v>
      </c>
      <c r="K85" s="131"/>
      <c r="L85" s="130"/>
      <c r="M85" s="131"/>
      <c r="N85" s="131"/>
      <c r="O85" s="131"/>
      <c r="P85" s="131"/>
      <c r="Q85" s="131"/>
      <c r="R85" s="131"/>
      <c r="S85" s="131"/>
      <c r="T85" s="131"/>
      <c r="U85" s="306"/>
      <c r="V85" s="301"/>
      <c r="W85" s="301"/>
      <c r="X85" s="301"/>
      <c r="Y85" s="301"/>
    </row>
    <row r="86" spans="1:25" ht="21" hidden="1" customHeight="1">
      <c r="A86" s="71" t="s">
        <v>114</v>
      </c>
      <c r="B86" s="71"/>
      <c r="C86" s="553"/>
      <c r="D86" s="434"/>
      <c r="E86" s="434"/>
      <c r="F86" s="434"/>
      <c r="G86" s="434"/>
      <c r="H86" s="131"/>
      <c r="I86" s="131"/>
      <c r="J86" s="131">
        <f t="shared" si="27"/>
        <v>0</v>
      </c>
      <c r="K86" s="131"/>
      <c r="L86" s="130"/>
      <c r="M86" s="131"/>
      <c r="N86" s="131"/>
      <c r="O86" s="131"/>
      <c r="P86" s="131"/>
      <c r="Q86" s="131"/>
      <c r="R86" s="131"/>
      <c r="S86" s="131"/>
      <c r="T86" s="131"/>
      <c r="U86" s="306"/>
      <c r="V86" s="301"/>
      <c r="W86" s="301"/>
      <c r="X86" s="301"/>
      <c r="Y86" s="301"/>
    </row>
    <row r="87" spans="1:25" ht="21" hidden="1" customHeight="1">
      <c r="A87" s="695" t="s">
        <v>115</v>
      </c>
      <c r="B87" s="71"/>
      <c r="C87" s="553"/>
      <c r="D87" s="434"/>
      <c r="E87" s="434"/>
      <c r="F87" s="434"/>
      <c r="G87" s="434">
        <f t="shared" ref="G87:G94" si="28">SUM(B87:F87)</f>
        <v>0</v>
      </c>
      <c r="H87" s="131"/>
      <c r="I87" s="131"/>
      <c r="J87" s="131">
        <f t="shared" si="27"/>
        <v>0</v>
      </c>
      <c r="K87" s="131"/>
      <c r="L87" s="130"/>
      <c r="M87" s="131"/>
      <c r="N87" s="131"/>
      <c r="O87" s="131"/>
      <c r="P87" s="131"/>
      <c r="Q87" s="131"/>
      <c r="R87" s="131"/>
      <c r="S87" s="131"/>
      <c r="T87" s="131"/>
      <c r="U87" s="306"/>
      <c r="V87" s="301"/>
      <c r="W87" s="301"/>
      <c r="X87" s="301"/>
      <c r="Y87" s="301"/>
    </row>
    <row r="88" spans="1:25" ht="21" hidden="1" customHeight="1">
      <c r="A88" s="695" t="s">
        <v>116</v>
      </c>
      <c r="B88" s="71"/>
      <c r="C88" s="553"/>
      <c r="D88" s="434"/>
      <c r="E88" s="434"/>
      <c r="F88" s="434"/>
      <c r="G88" s="434">
        <f t="shared" si="28"/>
        <v>0</v>
      </c>
      <c r="H88" s="131"/>
      <c r="I88" s="131"/>
      <c r="J88" s="131">
        <f t="shared" si="27"/>
        <v>0</v>
      </c>
      <c r="K88" s="131"/>
      <c r="L88" s="130"/>
      <c r="M88" s="131"/>
      <c r="N88" s="131"/>
      <c r="O88" s="131"/>
      <c r="P88" s="131"/>
      <c r="Q88" s="131"/>
      <c r="R88" s="131"/>
      <c r="S88" s="131"/>
      <c r="T88" s="131"/>
      <c r="U88" s="306"/>
      <c r="V88" s="301"/>
      <c r="W88" s="301"/>
      <c r="X88" s="301"/>
      <c r="Y88" s="301"/>
    </row>
    <row r="89" spans="1:25" ht="21" hidden="1" customHeight="1">
      <c r="A89" s="695" t="s">
        <v>117</v>
      </c>
      <c r="B89" s="71"/>
      <c r="C89" s="553"/>
      <c r="D89" s="434"/>
      <c r="E89" s="434"/>
      <c r="F89" s="434"/>
      <c r="G89" s="434">
        <f t="shared" si="28"/>
        <v>0</v>
      </c>
      <c r="H89" s="131"/>
      <c r="I89" s="131"/>
      <c r="J89" s="131">
        <f t="shared" si="27"/>
        <v>0</v>
      </c>
      <c r="K89" s="131"/>
      <c r="L89" s="130"/>
      <c r="M89" s="131"/>
      <c r="N89" s="131"/>
      <c r="O89" s="131"/>
      <c r="P89" s="131"/>
      <c r="Q89" s="131"/>
      <c r="R89" s="131"/>
      <c r="S89" s="131"/>
      <c r="T89" s="131"/>
      <c r="U89" s="306"/>
      <c r="V89" s="301"/>
      <c r="W89" s="301"/>
      <c r="X89" s="301"/>
      <c r="Y89" s="301"/>
    </row>
    <row r="90" spans="1:25" ht="21" hidden="1" customHeight="1">
      <c r="A90" s="695" t="s">
        <v>118</v>
      </c>
      <c r="B90" s="71"/>
      <c r="C90" s="553"/>
      <c r="D90" s="434"/>
      <c r="E90" s="434"/>
      <c r="F90" s="434"/>
      <c r="G90" s="434">
        <f t="shared" si="28"/>
        <v>0</v>
      </c>
      <c r="H90" s="131"/>
      <c r="I90" s="131"/>
      <c r="J90" s="131">
        <f t="shared" si="27"/>
        <v>0</v>
      </c>
      <c r="K90" s="131"/>
      <c r="L90" s="130"/>
      <c r="M90" s="131"/>
      <c r="N90" s="131"/>
      <c r="O90" s="131"/>
      <c r="P90" s="131"/>
      <c r="Q90" s="131"/>
      <c r="R90" s="131"/>
      <c r="S90" s="131"/>
      <c r="T90" s="131"/>
      <c r="U90" s="306"/>
      <c r="V90" s="301"/>
      <c r="W90" s="301"/>
      <c r="X90" s="301"/>
      <c r="Y90" s="301"/>
    </row>
    <row r="91" spans="1:25" ht="21" customHeight="1">
      <c r="A91" s="71" t="s">
        <v>119</v>
      </c>
      <c r="B91" s="71"/>
      <c r="C91" s="553">
        <f>14+37</f>
        <v>51</v>
      </c>
      <c r="D91" s="434">
        <f>22</f>
        <v>22</v>
      </c>
      <c r="E91" s="434">
        <v>16</v>
      </c>
      <c r="F91" s="434">
        <v>28</v>
      </c>
      <c r="G91" s="434">
        <f t="shared" si="28"/>
        <v>117</v>
      </c>
      <c r="H91" s="131"/>
      <c r="I91" s="131"/>
      <c r="J91" s="131">
        <f t="shared" si="27"/>
        <v>117</v>
      </c>
      <c r="K91" s="131"/>
      <c r="L91" s="130"/>
      <c r="M91" s="131"/>
      <c r="N91" s="131"/>
      <c r="O91" s="131"/>
      <c r="P91" s="131"/>
      <c r="Q91" s="131"/>
      <c r="R91" s="131"/>
      <c r="S91" s="131"/>
      <c r="T91" s="131"/>
      <c r="U91" s="306">
        <v>38</v>
      </c>
      <c r="V91" s="301">
        <v>18</v>
      </c>
      <c r="W91" s="301">
        <v>26</v>
      </c>
      <c r="X91" s="301">
        <v>32</v>
      </c>
      <c r="Y91" s="301">
        <v>2</v>
      </c>
    </row>
    <row r="92" spans="1:25" ht="21" customHeight="1">
      <c r="A92" s="69" t="s">
        <v>120</v>
      </c>
      <c r="B92" s="69"/>
      <c r="C92" s="569">
        <v>40</v>
      </c>
      <c r="D92" s="497">
        <v>42</v>
      </c>
      <c r="E92" s="497">
        <v>33</v>
      </c>
      <c r="F92" s="497">
        <v>4</v>
      </c>
      <c r="G92" s="434">
        <f t="shared" si="28"/>
        <v>119</v>
      </c>
      <c r="H92" s="131"/>
      <c r="I92" s="131"/>
      <c r="J92" s="131">
        <f t="shared" si="27"/>
        <v>119</v>
      </c>
      <c r="K92" s="131"/>
      <c r="L92" s="130"/>
      <c r="M92" s="131"/>
      <c r="N92" s="131"/>
      <c r="O92" s="131"/>
      <c r="P92" s="131"/>
      <c r="Q92" s="131"/>
      <c r="R92" s="131"/>
      <c r="S92" s="131"/>
      <c r="T92" s="131"/>
      <c r="U92" s="306">
        <v>61</v>
      </c>
      <c r="V92" s="301">
        <v>34</v>
      </c>
      <c r="W92" s="301">
        <v>30</v>
      </c>
      <c r="X92" s="301">
        <v>15</v>
      </c>
      <c r="Y92" s="301">
        <v>1</v>
      </c>
    </row>
    <row r="93" spans="1:25" ht="21" hidden="1" customHeight="1">
      <c r="A93" s="69" t="s">
        <v>121</v>
      </c>
      <c r="B93" s="69"/>
      <c r="C93" s="569"/>
      <c r="D93" s="497"/>
      <c r="E93" s="497"/>
      <c r="F93" s="497"/>
      <c r="G93" s="434">
        <f t="shared" si="28"/>
        <v>0</v>
      </c>
      <c r="H93" s="131"/>
      <c r="I93" s="131"/>
      <c r="J93" s="131">
        <f t="shared" si="27"/>
        <v>0</v>
      </c>
      <c r="K93" s="131"/>
      <c r="L93" s="130"/>
      <c r="M93" s="131"/>
      <c r="N93" s="131"/>
      <c r="O93" s="131"/>
      <c r="P93" s="131"/>
      <c r="Q93" s="131"/>
      <c r="R93" s="131"/>
      <c r="S93" s="131"/>
      <c r="T93" s="131"/>
      <c r="U93" s="306"/>
      <c r="V93" s="301"/>
      <c r="W93" s="301"/>
      <c r="X93" s="301"/>
      <c r="Y93" s="301">
        <v>1</v>
      </c>
    </row>
    <row r="94" spans="1:25" ht="21" customHeight="1">
      <c r="A94" s="69" t="s">
        <v>122</v>
      </c>
      <c r="B94" s="69"/>
      <c r="C94" s="569">
        <v>14</v>
      </c>
      <c r="D94" s="497">
        <v>21</v>
      </c>
      <c r="E94" s="497"/>
      <c r="F94" s="497"/>
      <c r="G94" s="497">
        <f t="shared" si="28"/>
        <v>35</v>
      </c>
      <c r="H94" s="131"/>
      <c r="I94" s="131"/>
      <c r="J94" s="131">
        <f t="shared" si="27"/>
        <v>35</v>
      </c>
      <c r="K94" s="131"/>
      <c r="L94" s="130"/>
      <c r="M94" s="131"/>
      <c r="N94" s="131"/>
      <c r="O94" s="131"/>
      <c r="P94" s="131"/>
      <c r="Q94" s="131"/>
      <c r="R94" s="131"/>
      <c r="S94" s="131"/>
      <c r="T94" s="131"/>
      <c r="U94" s="306">
        <v>33</v>
      </c>
      <c r="V94" s="301"/>
      <c r="W94" s="301"/>
      <c r="X94" s="301"/>
      <c r="Y94" s="301"/>
    </row>
    <row r="95" spans="1:25" ht="21" hidden="1" customHeight="1">
      <c r="A95" s="69" t="s">
        <v>123</v>
      </c>
      <c r="B95" s="69"/>
      <c r="C95" s="569"/>
      <c r="D95" s="497"/>
      <c r="E95" s="497"/>
      <c r="F95" s="497"/>
      <c r="G95" s="497"/>
      <c r="H95" s="131"/>
      <c r="I95" s="131"/>
      <c r="J95" s="131">
        <f t="shared" si="27"/>
        <v>0</v>
      </c>
      <c r="K95" s="131"/>
      <c r="L95" s="130"/>
      <c r="M95" s="131"/>
      <c r="N95" s="131"/>
      <c r="O95" s="131"/>
      <c r="P95" s="131"/>
      <c r="Q95" s="131"/>
      <c r="R95" s="131"/>
      <c r="S95" s="131"/>
      <c r="T95" s="131"/>
    </row>
    <row r="96" spans="1:25" ht="21" hidden="1" customHeight="1">
      <c r="A96" s="69" t="s">
        <v>124</v>
      </c>
      <c r="B96" s="69"/>
      <c r="C96" s="569"/>
      <c r="D96" s="497"/>
      <c r="E96" s="497"/>
      <c r="F96" s="497"/>
      <c r="G96" s="497"/>
      <c r="H96" s="131"/>
      <c r="I96" s="131"/>
      <c r="J96" s="131">
        <f t="shared" si="27"/>
        <v>0</v>
      </c>
      <c r="K96" s="131"/>
      <c r="L96" s="130"/>
      <c r="M96" s="131"/>
      <c r="N96" s="131"/>
      <c r="O96" s="131"/>
      <c r="P96" s="131"/>
      <c r="Q96" s="131"/>
      <c r="R96" s="131"/>
      <c r="S96" s="131"/>
      <c r="T96" s="131"/>
    </row>
    <row r="97" spans="1:25" ht="21" hidden="1" customHeight="1">
      <c r="A97" s="60" t="s">
        <v>6</v>
      </c>
      <c r="B97" s="60"/>
      <c r="C97" s="542"/>
      <c r="D97" s="49">
        <f>SUM(D79:D96)</f>
        <v>160</v>
      </c>
      <c r="E97" s="49">
        <f>SUM(E79:E96)</f>
        <v>111</v>
      </c>
      <c r="F97" s="49">
        <f>SUM(F79:F96)</f>
        <v>66</v>
      </c>
      <c r="G97" s="49">
        <f>SUM(G79:G96)</f>
        <v>525</v>
      </c>
      <c r="H97" s="135"/>
      <c r="I97" s="135"/>
      <c r="J97" s="131">
        <f t="shared" si="27"/>
        <v>337</v>
      </c>
      <c r="K97" s="135"/>
      <c r="L97" s="134"/>
      <c r="M97" s="135"/>
      <c r="N97" s="135"/>
      <c r="O97" s="135"/>
      <c r="P97" s="135"/>
      <c r="Q97" s="135"/>
      <c r="R97" s="135"/>
      <c r="S97" s="135"/>
      <c r="T97" s="135"/>
    </row>
    <row r="98" spans="1:25" ht="21" customHeight="1">
      <c r="A98" s="266" t="s">
        <v>125</v>
      </c>
      <c r="B98" s="488">
        <f>SUM(B99:B110)</f>
        <v>0</v>
      </c>
      <c r="C98" s="488">
        <f>SUM(C99:C110)</f>
        <v>459</v>
      </c>
      <c r="D98" s="488">
        <f t="shared" ref="D98:G98" si="29">SUM(D99:D110)</f>
        <v>404</v>
      </c>
      <c r="E98" s="488">
        <f t="shared" si="29"/>
        <v>255</v>
      </c>
      <c r="F98" s="488">
        <f t="shared" si="29"/>
        <v>74</v>
      </c>
      <c r="G98" s="488">
        <f t="shared" si="29"/>
        <v>1192</v>
      </c>
      <c r="H98" s="140"/>
      <c r="I98" s="140"/>
      <c r="J98" s="131">
        <f t="shared" si="27"/>
        <v>1192</v>
      </c>
      <c r="K98" s="140"/>
      <c r="L98" s="139"/>
      <c r="M98" s="140"/>
      <c r="N98" s="140"/>
      <c r="O98" s="140"/>
      <c r="P98" s="140"/>
      <c r="Q98" s="140"/>
      <c r="R98" s="140"/>
      <c r="S98" s="140"/>
      <c r="T98" s="140"/>
      <c r="U98" s="301">
        <f>SUM(U79:U97)</f>
        <v>251</v>
      </c>
      <c r="V98" s="301">
        <f>SUM(V79:V97)</f>
        <v>117</v>
      </c>
      <c r="W98" s="301">
        <f>SUM(W79:W97)</f>
        <v>144</v>
      </c>
      <c r="X98" s="301">
        <f>SUM(X79:X97)</f>
        <v>83</v>
      </c>
      <c r="Y98" s="301">
        <f>SUM(Y79:Y97)</f>
        <v>7</v>
      </c>
    </row>
    <row r="99" spans="1:25" ht="21" customHeight="1">
      <c r="A99" s="68" t="s">
        <v>126</v>
      </c>
      <c r="B99" s="68"/>
      <c r="C99" s="575"/>
      <c r="D99" s="468"/>
      <c r="E99" s="468">
        <v>35</v>
      </c>
      <c r="F99" s="468">
        <v>11</v>
      </c>
      <c r="G99" s="439">
        <f t="shared" ref="G99:G110" si="30">SUM(B99:F99)</f>
        <v>46</v>
      </c>
      <c r="H99" s="131"/>
      <c r="I99" s="131">
        <v>1</v>
      </c>
      <c r="J99" s="131">
        <f t="shared" si="27"/>
        <v>46</v>
      </c>
      <c r="K99" s="131"/>
      <c r="L99" s="130"/>
      <c r="M99" s="131"/>
      <c r="N99" s="131"/>
      <c r="O99" s="131"/>
      <c r="P99" s="131"/>
      <c r="Q99" s="131"/>
      <c r="R99" s="131"/>
      <c r="S99" s="131"/>
      <c r="T99" s="131"/>
      <c r="U99" s="306">
        <v>78</v>
      </c>
      <c r="V99" s="301">
        <v>55</v>
      </c>
      <c r="W99" s="301">
        <v>52</v>
      </c>
      <c r="X99" s="301">
        <v>29</v>
      </c>
      <c r="Y99" s="301">
        <v>16</v>
      </c>
    </row>
    <row r="100" spans="1:25" ht="21" customHeight="1">
      <c r="A100" s="71" t="s">
        <v>127</v>
      </c>
      <c r="B100" s="71"/>
      <c r="C100" s="553">
        <v>42</v>
      </c>
      <c r="D100" s="434">
        <v>44</v>
      </c>
      <c r="E100" s="434">
        <v>44</v>
      </c>
      <c r="F100" s="434">
        <v>9</v>
      </c>
      <c r="G100" s="434">
        <f t="shared" si="30"/>
        <v>139</v>
      </c>
      <c r="H100" s="131"/>
      <c r="I100" s="131">
        <v>2</v>
      </c>
      <c r="J100" s="131">
        <f t="shared" si="27"/>
        <v>139</v>
      </c>
      <c r="K100" s="131"/>
      <c r="L100" s="130"/>
      <c r="M100" s="131"/>
      <c r="N100" s="131"/>
      <c r="O100" s="131"/>
      <c r="P100" s="131"/>
      <c r="Q100" s="131"/>
      <c r="R100" s="131"/>
      <c r="S100" s="131"/>
      <c r="T100" s="131"/>
      <c r="U100" s="306">
        <v>49</v>
      </c>
      <c r="V100" s="301">
        <v>47</v>
      </c>
      <c r="W100" s="301">
        <v>46</v>
      </c>
      <c r="X100" s="301">
        <v>40</v>
      </c>
      <c r="Y100" s="301">
        <v>7</v>
      </c>
    </row>
    <row r="101" spans="1:25" ht="21" customHeight="1">
      <c r="A101" s="71" t="s">
        <v>128</v>
      </c>
      <c r="B101" s="71"/>
      <c r="C101" s="553">
        <f>37+14</f>
        <v>51</v>
      </c>
      <c r="D101" s="434">
        <f>30+15</f>
        <v>45</v>
      </c>
      <c r="E101" s="434"/>
      <c r="F101" s="434"/>
      <c r="G101" s="434">
        <f t="shared" si="30"/>
        <v>96</v>
      </c>
      <c r="H101" s="131"/>
      <c r="I101" s="131">
        <v>2</v>
      </c>
      <c r="J101" s="131">
        <f t="shared" si="27"/>
        <v>96</v>
      </c>
      <c r="K101" s="131"/>
      <c r="L101" s="130"/>
      <c r="M101" s="131"/>
      <c r="N101" s="131"/>
      <c r="O101" s="131"/>
      <c r="P101" s="131"/>
      <c r="Q101" s="131"/>
      <c r="R101" s="131"/>
      <c r="S101" s="131"/>
      <c r="T101" s="131"/>
      <c r="U101" s="306">
        <v>49</v>
      </c>
      <c r="V101" s="301">
        <v>47</v>
      </c>
      <c r="W101" s="301">
        <v>46</v>
      </c>
      <c r="X101" s="301">
        <v>40</v>
      </c>
      <c r="Y101" s="301">
        <v>7</v>
      </c>
    </row>
    <row r="102" spans="1:25" ht="21" customHeight="1">
      <c r="A102" s="71" t="s">
        <v>129</v>
      </c>
      <c r="B102" s="71"/>
      <c r="C102" s="553">
        <v>41</v>
      </c>
      <c r="D102" s="434">
        <v>34</v>
      </c>
      <c r="E102" s="434">
        <v>33</v>
      </c>
      <c r="F102" s="434">
        <v>4</v>
      </c>
      <c r="G102" s="434">
        <f t="shared" si="30"/>
        <v>112</v>
      </c>
      <c r="H102" s="131"/>
      <c r="I102" s="131">
        <v>3</v>
      </c>
      <c r="J102" s="131">
        <f t="shared" si="27"/>
        <v>112</v>
      </c>
      <c r="K102" s="131"/>
      <c r="L102" s="130"/>
      <c r="M102" s="131"/>
      <c r="N102" s="131"/>
      <c r="O102" s="131"/>
      <c r="P102" s="131"/>
      <c r="Q102" s="131"/>
      <c r="R102" s="131"/>
      <c r="S102" s="131"/>
      <c r="T102" s="131"/>
      <c r="U102" s="306">
        <v>40</v>
      </c>
      <c r="V102" s="301">
        <v>38</v>
      </c>
      <c r="W102" s="301">
        <v>61</v>
      </c>
      <c r="X102" s="301">
        <v>38</v>
      </c>
      <c r="Y102" s="301"/>
    </row>
    <row r="103" spans="1:25" ht="21" customHeight="1">
      <c r="A103" s="71" t="s">
        <v>130</v>
      </c>
      <c r="B103" s="71"/>
      <c r="C103" s="553">
        <v>28</v>
      </c>
      <c r="D103" s="434">
        <v>41</v>
      </c>
      <c r="E103" s="434"/>
      <c r="F103" s="434">
        <v>4</v>
      </c>
      <c r="G103" s="434">
        <f t="shared" si="30"/>
        <v>73</v>
      </c>
      <c r="H103" s="131"/>
      <c r="I103" s="131">
        <v>4</v>
      </c>
      <c r="J103" s="131">
        <f t="shared" si="27"/>
        <v>73</v>
      </c>
      <c r="K103" s="131"/>
      <c r="L103" s="130"/>
      <c r="M103" s="131"/>
      <c r="N103" s="131"/>
      <c r="O103" s="131"/>
      <c r="P103" s="131"/>
      <c r="Q103" s="131"/>
      <c r="R103" s="131"/>
      <c r="S103" s="131"/>
      <c r="T103" s="131"/>
      <c r="U103" s="306">
        <v>49</v>
      </c>
      <c r="V103" s="301"/>
      <c r="W103" s="301">
        <v>42</v>
      </c>
      <c r="X103" s="301"/>
      <c r="Y103" s="301">
        <v>2</v>
      </c>
    </row>
    <row r="104" spans="1:25" ht="21" customHeight="1">
      <c r="A104" s="71" t="s">
        <v>131</v>
      </c>
      <c r="B104" s="71"/>
      <c r="C104" s="553">
        <f>40+37</f>
        <v>77</v>
      </c>
      <c r="D104" s="434">
        <f>41+36</f>
        <v>77</v>
      </c>
      <c r="E104" s="434">
        <v>36</v>
      </c>
      <c r="F104" s="434">
        <v>10</v>
      </c>
      <c r="G104" s="434">
        <f t="shared" si="30"/>
        <v>200</v>
      </c>
      <c r="H104" s="131"/>
      <c r="I104" s="131">
        <v>5</v>
      </c>
      <c r="J104" s="131">
        <f t="shared" si="27"/>
        <v>200</v>
      </c>
      <c r="K104" s="131"/>
      <c r="L104" s="130"/>
      <c r="M104" s="131"/>
      <c r="N104" s="131"/>
      <c r="O104" s="131"/>
      <c r="P104" s="131"/>
      <c r="Q104" s="131"/>
      <c r="R104" s="131"/>
      <c r="S104" s="131"/>
      <c r="T104" s="131"/>
      <c r="U104" s="306">
        <v>104</v>
      </c>
      <c r="V104" s="301">
        <v>41</v>
      </c>
      <c r="W104" s="301">
        <v>47</v>
      </c>
      <c r="X104" s="301">
        <v>36</v>
      </c>
      <c r="Y104" s="301">
        <v>11</v>
      </c>
    </row>
    <row r="105" spans="1:25" ht="21" customHeight="1">
      <c r="A105" s="71" t="s">
        <v>132</v>
      </c>
      <c r="B105" s="71"/>
      <c r="C105" s="553">
        <v>34</v>
      </c>
      <c r="D105" s="434">
        <v>22</v>
      </c>
      <c r="E105" s="434">
        <v>18</v>
      </c>
      <c r="F105" s="434">
        <v>25</v>
      </c>
      <c r="G105" s="434">
        <f t="shared" si="30"/>
        <v>99</v>
      </c>
      <c r="H105" s="131"/>
      <c r="I105" s="131">
        <v>6</v>
      </c>
      <c r="J105" s="131">
        <f t="shared" si="27"/>
        <v>99</v>
      </c>
      <c r="K105" s="131"/>
      <c r="L105" s="130"/>
      <c r="M105" s="131"/>
      <c r="N105" s="131"/>
      <c r="O105" s="131"/>
      <c r="P105" s="131"/>
      <c r="Q105" s="131"/>
      <c r="R105" s="131"/>
      <c r="S105" s="131"/>
      <c r="T105" s="131"/>
      <c r="U105" s="306">
        <v>44</v>
      </c>
      <c r="V105" s="301">
        <v>28</v>
      </c>
      <c r="W105" s="301">
        <v>23</v>
      </c>
      <c r="X105" s="301">
        <v>21</v>
      </c>
      <c r="Y105" s="301"/>
    </row>
    <row r="106" spans="1:25" ht="21" customHeight="1">
      <c r="A106" s="71" t="s">
        <v>133</v>
      </c>
      <c r="B106" s="71"/>
      <c r="C106" s="553">
        <v>75</v>
      </c>
      <c r="D106" s="434"/>
      <c r="E106" s="434">
        <v>29</v>
      </c>
      <c r="F106" s="434">
        <v>1</v>
      </c>
      <c r="G106" s="434">
        <f t="shared" si="30"/>
        <v>105</v>
      </c>
      <c r="H106" s="131"/>
      <c r="I106" s="131">
        <v>7</v>
      </c>
      <c r="J106" s="131">
        <f t="shared" si="27"/>
        <v>105</v>
      </c>
      <c r="K106" s="131"/>
      <c r="L106" s="130"/>
      <c r="M106" s="131"/>
      <c r="N106" s="131"/>
      <c r="O106" s="131"/>
      <c r="P106" s="131"/>
      <c r="Q106" s="131"/>
      <c r="R106" s="131"/>
      <c r="S106" s="131"/>
      <c r="T106" s="131"/>
      <c r="U106" s="306"/>
      <c r="V106" s="301">
        <v>33</v>
      </c>
      <c r="W106" s="301">
        <v>41</v>
      </c>
      <c r="X106" s="301">
        <v>36</v>
      </c>
      <c r="Y106" s="301">
        <v>3</v>
      </c>
    </row>
    <row r="107" spans="1:25" ht="21" customHeight="1">
      <c r="A107" s="71" t="s">
        <v>170</v>
      </c>
      <c r="B107" s="71"/>
      <c r="C107" s="553"/>
      <c r="D107" s="434"/>
      <c r="E107" s="434">
        <v>14</v>
      </c>
      <c r="F107" s="434">
        <v>6</v>
      </c>
      <c r="G107" s="434">
        <f t="shared" si="30"/>
        <v>20</v>
      </c>
      <c r="H107" s="131"/>
      <c r="I107" s="131">
        <v>8</v>
      </c>
      <c r="J107" s="131">
        <f t="shared" si="27"/>
        <v>20</v>
      </c>
      <c r="K107" s="131"/>
      <c r="L107" s="130"/>
      <c r="M107" s="131"/>
      <c r="N107" s="131"/>
      <c r="O107" s="131"/>
      <c r="P107" s="131"/>
      <c r="Q107" s="131"/>
      <c r="R107" s="131"/>
      <c r="S107" s="131"/>
      <c r="T107" s="131"/>
      <c r="U107" s="306"/>
      <c r="V107" s="301">
        <v>22</v>
      </c>
      <c r="W107" s="301">
        <v>30</v>
      </c>
      <c r="X107" s="301">
        <v>9</v>
      </c>
      <c r="Y107" s="301"/>
    </row>
    <row r="108" spans="1:25" ht="21" customHeight="1">
      <c r="A108" s="71" t="s">
        <v>136</v>
      </c>
      <c r="B108" s="71"/>
      <c r="C108" s="553">
        <v>66</v>
      </c>
      <c r="D108" s="434">
        <v>68</v>
      </c>
      <c r="E108" s="434"/>
      <c r="F108" s="434"/>
      <c r="G108" s="434">
        <f t="shared" si="30"/>
        <v>134</v>
      </c>
      <c r="H108" s="131"/>
      <c r="I108" s="131">
        <v>9</v>
      </c>
      <c r="J108" s="131">
        <f t="shared" si="27"/>
        <v>134</v>
      </c>
      <c r="K108" s="131"/>
      <c r="L108" s="130"/>
      <c r="M108" s="131"/>
      <c r="N108" s="131"/>
      <c r="O108" s="131"/>
      <c r="P108" s="131"/>
      <c r="Q108" s="131"/>
      <c r="R108" s="131"/>
      <c r="S108" s="131"/>
      <c r="T108" s="131"/>
      <c r="U108" s="306">
        <v>82</v>
      </c>
      <c r="V108" s="301"/>
      <c r="W108" s="301"/>
      <c r="X108" s="301"/>
      <c r="Y108" s="301"/>
    </row>
    <row r="109" spans="1:25" ht="21" customHeight="1">
      <c r="A109" s="71" t="s">
        <v>137</v>
      </c>
      <c r="B109" s="71"/>
      <c r="C109" s="553"/>
      <c r="D109" s="434"/>
      <c r="E109" s="434"/>
      <c r="F109" s="434"/>
      <c r="G109" s="434">
        <f t="shared" si="30"/>
        <v>0</v>
      </c>
      <c r="H109" s="131"/>
      <c r="I109" s="131">
        <v>9</v>
      </c>
      <c r="J109" s="131">
        <f t="shared" si="27"/>
        <v>0</v>
      </c>
      <c r="K109" s="131"/>
      <c r="L109" s="130"/>
      <c r="M109" s="131"/>
      <c r="N109" s="131"/>
      <c r="O109" s="131"/>
      <c r="P109" s="131"/>
      <c r="Q109" s="131"/>
      <c r="R109" s="131"/>
      <c r="S109" s="131"/>
      <c r="T109" s="131"/>
      <c r="U109" s="306">
        <v>82</v>
      </c>
      <c r="V109" s="301"/>
      <c r="W109" s="301"/>
      <c r="X109" s="301"/>
      <c r="Y109" s="301"/>
    </row>
    <row r="110" spans="1:25" ht="21" customHeight="1">
      <c r="A110" s="69" t="s">
        <v>138</v>
      </c>
      <c r="B110" s="69"/>
      <c r="C110" s="569">
        <v>45</v>
      </c>
      <c r="D110" s="497">
        <v>73</v>
      </c>
      <c r="E110" s="497">
        <v>46</v>
      </c>
      <c r="F110" s="497">
        <v>4</v>
      </c>
      <c r="G110" s="468">
        <f t="shared" si="30"/>
        <v>168</v>
      </c>
      <c r="H110" s="131"/>
      <c r="I110" s="131">
        <v>10</v>
      </c>
      <c r="J110" s="131">
        <f t="shared" si="27"/>
        <v>168</v>
      </c>
      <c r="K110" s="131"/>
      <c r="L110" s="130"/>
      <c r="M110" s="131"/>
      <c r="N110" s="131"/>
      <c r="O110" s="131"/>
      <c r="P110" s="131"/>
      <c r="Q110" s="131"/>
      <c r="R110" s="131"/>
      <c r="S110" s="131"/>
      <c r="T110" s="131"/>
      <c r="U110" s="306">
        <v>97</v>
      </c>
      <c r="V110" s="301">
        <v>49</v>
      </c>
      <c r="W110" s="301">
        <v>43</v>
      </c>
      <c r="X110" s="301">
        <v>52</v>
      </c>
      <c r="Y110" s="301">
        <v>5</v>
      </c>
    </row>
    <row r="111" spans="1:25" ht="21" customHeight="1">
      <c r="A111" s="60" t="s">
        <v>6</v>
      </c>
      <c r="B111" s="49">
        <f>SUM(B99:B110)</f>
        <v>0</v>
      </c>
      <c r="C111" s="49">
        <f>SUM(C99:C110)</f>
        <v>459</v>
      </c>
      <c r="D111" s="49">
        <f t="shared" ref="D111:G111" si="31">SUM(D99:D110)</f>
        <v>404</v>
      </c>
      <c r="E111" s="49">
        <f t="shared" si="31"/>
        <v>255</v>
      </c>
      <c r="F111" s="49">
        <f t="shared" si="31"/>
        <v>74</v>
      </c>
      <c r="G111" s="49">
        <f t="shared" si="31"/>
        <v>1192</v>
      </c>
      <c r="H111" s="135"/>
      <c r="I111" s="135"/>
      <c r="J111" s="135"/>
      <c r="K111" s="135"/>
      <c r="L111" s="134"/>
      <c r="M111" s="135"/>
      <c r="N111" s="135"/>
      <c r="O111" s="135"/>
      <c r="P111" s="135"/>
      <c r="Q111" s="135"/>
      <c r="R111" s="135"/>
      <c r="S111" s="135"/>
      <c r="T111" s="135"/>
      <c r="U111" s="306">
        <f>SUM(U99:U110)</f>
        <v>674</v>
      </c>
      <c r="V111" s="301">
        <f>SUM(V99:V110)</f>
        <v>360</v>
      </c>
      <c r="W111" s="301">
        <f>SUM(W99:W110)</f>
        <v>431</v>
      </c>
      <c r="X111" s="301">
        <f>SUM(X99:X110)</f>
        <v>301</v>
      </c>
      <c r="Y111" s="301">
        <f>SUM(Y99:Y110)</f>
        <v>51</v>
      </c>
    </row>
    <row r="112" spans="1:25" ht="21" customHeight="1">
      <c r="A112" s="266" t="s">
        <v>139</v>
      </c>
      <c r="B112" s="488">
        <f t="shared" ref="B112:G112" si="32">SUM(B124,B130,B134)</f>
        <v>0</v>
      </c>
      <c r="C112" s="488">
        <f t="shared" si="32"/>
        <v>613</v>
      </c>
      <c r="D112" s="488">
        <f t="shared" si="32"/>
        <v>541</v>
      </c>
      <c r="E112" s="488">
        <f t="shared" si="32"/>
        <v>447</v>
      </c>
      <c r="F112" s="488">
        <f t="shared" si="32"/>
        <v>74</v>
      </c>
      <c r="G112" s="488">
        <f t="shared" si="32"/>
        <v>1675</v>
      </c>
      <c r="H112" s="140">
        <f>G112-4</f>
        <v>1671</v>
      </c>
      <c r="I112" s="140"/>
      <c r="J112" s="140"/>
      <c r="K112" s="140">
        <f>1981-2</f>
        <v>1979</v>
      </c>
      <c r="L112" s="139"/>
      <c r="M112" s="140"/>
      <c r="N112" s="140"/>
      <c r="O112" s="140"/>
      <c r="P112" s="140"/>
      <c r="Q112" s="140"/>
      <c r="R112" s="140"/>
      <c r="S112" s="140"/>
      <c r="T112" s="140"/>
      <c r="W112" s="301"/>
    </row>
    <row r="113" spans="1:26" ht="21" customHeight="1">
      <c r="A113" s="67" t="s">
        <v>140</v>
      </c>
      <c r="B113" s="67"/>
      <c r="C113" s="554">
        <v>33</v>
      </c>
      <c r="D113" s="439"/>
      <c r="E113" s="439"/>
      <c r="F113" s="439"/>
      <c r="G113" s="439">
        <f t="shared" ref="G113:G123" si="33">SUM(B113:F113)</f>
        <v>33</v>
      </c>
      <c r="H113" s="131"/>
      <c r="I113" s="131"/>
      <c r="J113" s="131">
        <f t="shared" ref="J113:J123" si="34">SUM(C113:F113)</f>
        <v>33</v>
      </c>
      <c r="K113" s="131"/>
      <c r="L113" s="130"/>
      <c r="M113" s="131"/>
      <c r="N113" s="131"/>
      <c r="O113" s="131"/>
      <c r="P113" s="131"/>
      <c r="Q113" s="131"/>
      <c r="R113" s="131"/>
      <c r="S113" s="131"/>
      <c r="T113" s="131"/>
      <c r="U113" s="306">
        <v>47</v>
      </c>
      <c r="V113" s="301">
        <v>23</v>
      </c>
      <c r="W113" s="301">
        <v>27</v>
      </c>
      <c r="X113" s="301">
        <v>17</v>
      </c>
      <c r="Y113" s="301"/>
    </row>
    <row r="114" spans="1:26" ht="21" customHeight="1">
      <c r="A114" s="67" t="s">
        <v>141</v>
      </c>
      <c r="B114" s="67"/>
      <c r="C114" s="554">
        <v>31</v>
      </c>
      <c r="D114" s="439">
        <v>32</v>
      </c>
      <c r="E114" s="439">
        <v>20</v>
      </c>
      <c r="F114" s="439">
        <v>2</v>
      </c>
      <c r="G114" s="439">
        <f t="shared" si="33"/>
        <v>85</v>
      </c>
      <c r="H114" s="131"/>
      <c r="I114" s="131"/>
      <c r="J114" s="131">
        <f t="shared" si="34"/>
        <v>85</v>
      </c>
      <c r="K114" s="131"/>
      <c r="L114" s="130"/>
      <c r="M114" s="131"/>
      <c r="N114" s="131"/>
      <c r="O114" s="131"/>
      <c r="P114" s="131"/>
      <c r="Q114" s="131"/>
      <c r="R114" s="131"/>
      <c r="S114" s="131"/>
      <c r="T114" s="131"/>
      <c r="U114" s="306">
        <v>47</v>
      </c>
      <c r="V114" s="301">
        <v>23</v>
      </c>
      <c r="W114" s="301">
        <v>27</v>
      </c>
      <c r="X114" s="301">
        <v>17</v>
      </c>
      <c r="Y114" s="301"/>
    </row>
    <row r="115" spans="1:26" ht="21" customHeight="1">
      <c r="A115" s="71" t="s">
        <v>142</v>
      </c>
      <c r="B115" s="71"/>
      <c r="C115" s="553">
        <f>34+33+58</f>
        <v>125</v>
      </c>
      <c r="D115" s="434">
        <f>37+40+95</f>
        <v>172</v>
      </c>
      <c r="E115" s="434">
        <f>55+51</f>
        <v>106</v>
      </c>
      <c r="F115" s="434">
        <f>12+10</f>
        <v>22</v>
      </c>
      <c r="G115" s="439">
        <f t="shared" si="33"/>
        <v>425</v>
      </c>
      <c r="H115" s="131"/>
      <c r="I115" s="131"/>
      <c r="J115" s="131">
        <f t="shared" si="34"/>
        <v>425</v>
      </c>
      <c r="K115" s="131"/>
      <c r="L115" s="130"/>
      <c r="M115" s="131"/>
      <c r="N115" s="131"/>
      <c r="O115" s="131"/>
      <c r="P115" s="131"/>
      <c r="Q115" s="131"/>
      <c r="R115" s="131"/>
      <c r="S115" s="131"/>
      <c r="T115" s="131"/>
      <c r="U115" s="306">
        <v>228</v>
      </c>
      <c r="V115" s="301">
        <v>110</v>
      </c>
      <c r="W115" s="301">
        <v>123</v>
      </c>
      <c r="X115" s="301">
        <v>93</v>
      </c>
      <c r="Y115" s="301"/>
    </row>
    <row r="116" spans="1:26" ht="21" customHeight="1">
      <c r="A116" s="71" t="s">
        <v>143</v>
      </c>
      <c r="B116" s="71"/>
      <c r="C116" s="553">
        <v>38</v>
      </c>
      <c r="D116" s="434">
        <v>43</v>
      </c>
      <c r="E116" s="434">
        <v>44</v>
      </c>
      <c r="F116" s="434">
        <v>15</v>
      </c>
      <c r="G116" s="439">
        <f t="shared" si="33"/>
        <v>140</v>
      </c>
      <c r="H116" s="131"/>
      <c r="I116" s="131"/>
      <c r="J116" s="131">
        <f t="shared" si="34"/>
        <v>140</v>
      </c>
      <c r="K116" s="131"/>
      <c r="L116" s="130"/>
      <c r="M116" s="131"/>
      <c r="N116" s="131"/>
      <c r="O116" s="131"/>
      <c r="P116" s="131"/>
      <c r="Q116" s="131"/>
      <c r="R116" s="131"/>
      <c r="S116" s="131"/>
      <c r="T116" s="131"/>
      <c r="U116" s="306">
        <v>55</v>
      </c>
      <c r="V116" s="301">
        <v>51</v>
      </c>
      <c r="W116" s="301">
        <v>30</v>
      </c>
      <c r="X116" s="301">
        <v>22</v>
      </c>
      <c r="Y116" s="301">
        <v>10</v>
      </c>
    </row>
    <row r="117" spans="1:26" ht="21" customHeight="1">
      <c r="A117" s="71" t="s">
        <v>144</v>
      </c>
      <c r="B117" s="71"/>
      <c r="C117" s="553">
        <v>54</v>
      </c>
      <c r="D117" s="434">
        <v>69</v>
      </c>
      <c r="E117" s="434">
        <f>35+37</f>
        <v>72</v>
      </c>
      <c r="F117" s="434">
        <v>8</v>
      </c>
      <c r="G117" s="439">
        <f t="shared" si="33"/>
        <v>203</v>
      </c>
      <c r="H117" s="131"/>
      <c r="I117" s="131"/>
      <c r="J117" s="131">
        <f t="shared" si="34"/>
        <v>203</v>
      </c>
      <c r="K117" s="131"/>
      <c r="L117" s="130"/>
      <c r="M117" s="131"/>
      <c r="N117" s="131"/>
      <c r="O117" s="131"/>
      <c r="P117" s="131"/>
      <c r="Q117" s="131"/>
      <c r="R117" s="131"/>
      <c r="S117" s="131"/>
      <c r="T117" s="131"/>
      <c r="U117" s="306">
        <v>91</v>
      </c>
      <c r="V117" s="301">
        <v>72</v>
      </c>
      <c r="W117" s="301">
        <v>42</v>
      </c>
      <c r="X117" s="301">
        <v>50</v>
      </c>
      <c r="Y117" s="301">
        <v>7</v>
      </c>
    </row>
    <row r="118" spans="1:26" ht="21" customHeight="1">
      <c r="A118" s="71" t="s">
        <v>145</v>
      </c>
      <c r="B118" s="71"/>
      <c r="C118" s="553">
        <v>66</v>
      </c>
      <c r="D118" s="434">
        <v>47</v>
      </c>
      <c r="E118" s="434">
        <v>44</v>
      </c>
      <c r="F118" s="434">
        <v>12</v>
      </c>
      <c r="G118" s="439">
        <f t="shared" si="33"/>
        <v>169</v>
      </c>
      <c r="H118" s="131"/>
      <c r="I118" s="131"/>
      <c r="J118" s="131">
        <f t="shared" si="34"/>
        <v>169</v>
      </c>
      <c r="K118" s="131"/>
      <c r="L118" s="130"/>
      <c r="M118" s="131"/>
      <c r="N118" s="131"/>
      <c r="O118" s="131"/>
      <c r="P118" s="131"/>
      <c r="Q118" s="131"/>
      <c r="R118" s="131"/>
      <c r="S118" s="131"/>
      <c r="T118" s="131"/>
      <c r="U118" s="306">
        <v>48</v>
      </c>
      <c r="V118" s="301">
        <v>41</v>
      </c>
      <c r="W118" s="301">
        <v>24</v>
      </c>
      <c r="X118" s="301">
        <v>21</v>
      </c>
      <c r="Y118" s="301">
        <v>13</v>
      </c>
    </row>
    <row r="119" spans="1:26" ht="21" hidden="1" customHeight="1">
      <c r="A119" s="71" t="s">
        <v>146</v>
      </c>
      <c r="B119" s="71"/>
      <c r="C119" s="553"/>
      <c r="D119" s="434"/>
      <c r="E119" s="434"/>
      <c r="F119" s="434"/>
      <c r="G119" s="439">
        <f t="shared" si="33"/>
        <v>0</v>
      </c>
      <c r="H119" s="131"/>
      <c r="I119" s="131"/>
      <c r="J119" s="131">
        <f t="shared" si="34"/>
        <v>0</v>
      </c>
      <c r="K119" s="131"/>
      <c r="L119" s="130"/>
      <c r="M119" s="131"/>
      <c r="N119" s="131"/>
      <c r="O119" s="131"/>
      <c r="P119" s="131"/>
      <c r="Q119" s="131"/>
      <c r="R119" s="131"/>
      <c r="S119" s="131"/>
      <c r="T119" s="131"/>
      <c r="U119" s="306"/>
      <c r="V119" s="301"/>
      <c r="W119" s="301"/>
      <c r="X119" s="301"/>
      <c r="Y119" s="301"/>
    </row>
    <row r="120" spans="1:26" ht="21" customHeight="1">
      <c r="A120" s="71" t="s">
        <v>147</v>
      </c>
      <c r="B120" s="71"/>
      <c r="C120" s="553">
        <v>32</v>
      </c>
      <c r="D120" s="434">
        <v>45</v>
      </c>
      <c r="E120" s="434">
        <v>49</v>
      </c>
      <c r="F120" s="434">
        <v>5</v>
      </c>
      <c r="G120" s="439">
        <f t="shared" si="33"/>
        <v>131</v>
      </c>
      <c r="H120" s="131"/>
      <c r="I120" s="131"/>
      <c r="J120" s="131">
        <f t="shared" si="34"/>
        <v>131</v>
      </c>
      <c r="K120" s="131"/>
      <c r="L120" s="130"/>
      <c r="M120" s="131"/>
      <c r="N120" s="131"/>
      <c r="O120" s="131"/>
      <c r="P120" s="131"/>
      <c r="Q120" s="131"/>
      <c r="R120" s="131"/>
      <c r="S120" s="131"/>
      <c r="T120" s="131"/>
      <c r="U120" s="306">
        <v>49</v>
      </c>
      <c r="V120" s="301">
        <v>56</v>
      </c>
      <c r="W120" s="301">
        <v>36</v>
      </c>
      <c r="X120" s="301">
        <v>60</v>
      </c>
      <c r="Y120" s="301">
        <v>7</v>
      </c>
      <c r="Z120" s="301"/>
    </row>
    <row r="121" spans="1:26" ht="21" customHeight="1">
      <c r="A121" s="71" t="s">
        <v>148</v>
      </c>
      <c r="B121" s="71"/>
      <c r="C121" s="696">
        <v>30</v>
      </c>
      <c r="D121" s="434"/>
      <c r="E121" s="434">
        <v>26</v>
      </c>
      <c r="F121" s="434"/>
      <c r="G121" s="439">
        <f t="shared" si="33"/>
        <v>56</v>
      </c>
      <c r="H121" s="131"/>
      <c r="I121" s="131"/>
      <c r="J121" s="131">
        <f t="shared" si="34"/>
        <v>56</v>
      </c>
      <c r="K121" s="131">
        <f>83+38</f>
        <v>121</v>
      </c>
      <c r="L121" s="130"/>
      <c r="M121" s="131"/>
      <c r="N121" s="131"/>
      <c r="O121" s="131"/>
      <c r="P121" s="131"/>
      <c r="Q121" s="131"/>
      <c r="R121" s="131"/>
      <c r="S121" s="131"/>
      <c r="T121" s="131"/>
      <c r="U121" s="306"/>
      <c r="V121" s="301">
        <v>31</v>
      </c>
      <c r="W121" s="301"/>
      <c r="X121" s="301"/>
      <c r="Y121" s="301"/>
      <c r="Z121" s="301"/>
    </row>
    <row r="122" spans="1:26" ht="21" customHeight="1">
      <c r="A122" s="71" t="s">
        <v>149</v>
      </c>
      <c r="B122" s="71"/>
      <c r="C122" s="553">
        <f>79-C126</f>
        <v>41</v>
      </c>
      <c r="D122" s="434">
        <v>34</v>
      </c>
      <c r="E122" s="434">
        <v>44</v>
      </c>
      <c r="F122" s="434"/>
      <c r="G122" s="439">
        <f t="shared" si="33"/>
        <v>119</v>
      </c>
      <c r="H122" s="131"/>
      <c r="I122" s="131"/>
      <c r="J122" s="131">
        <f t="shared" si="34"/>
        <v>119</v>
      </c>
      <c r="K122" s="131"/>
      <c r="L122" s="130"/>
      <c r="M122" s="131"/>
      <c r="N122" s="131"/>
      <c r="O122" s="131"/>
      <c r="P122" s="131"/>
      <c r="Q122" s="131"/>
      <c r="R122" s="131"/>
      <c r="S122" s="131"/>
      <c r="T122" s="131"/>
      <c r="U122" s="306">
        <v>116</v>
      </c>
      <c r="V122" s="301">
        <v>51</v>
      </c>
      <c r="W122" s="301"/>
      <c r="X122" s="301"/>
      <c r="Y122" s="301"/>
      <c r="Z122" s="301"/>
    </row>
    <row r="123" spans="1:26" ht="21" customHeight="1">
      <c r="A123" s="71" t="s">
        <v>150</v>
      </c>
      <c r="B123" s="71"/>
      <c r="C123" s="553">
        <v>33</v>
      </c>
      <c r="D123" s="434">
        <v>32</v>
      </c>
      <c r="E123" s="434">
        <v>39</v>
      </c>
      <c r="F123" s="434">
        <v>5</v>
      </c>
      <c r="G123" s="434">
        <f t="shared" si="33"/>
        <v>109</v>
      </c>
      <c r="H123" s="131"/>
      <c r="I123" s="131"/>
      <c r="J123" s="131">
        <f t="shared" si="34"/>
        <v>109</v>
      </c>
      <c r="K123" s="131"/>
      <c r="L123" s="130"/>
      <c r="M123" s="131"/>
      <c r="N123" s="131"/>
      <c r="O123" s="131"/>
      <c r="P123" s="131"/>
      <c r="Q123" s="131"/>
      <c r="R123" s="131"/>
      <c r="S123" s="131"/>
      <c r="T123" s="131"/>
      <c r="U123" s="306">
        <v>42</v>
      </c>
      <c r="V123" s="301">
        <v>40</v>
      </c>
      <c r="W123" s="301">
        <v>77</v>
      </c>
      <c r="X123" s="301">
        <v>61</v>
      </c>
      <c r="Y123" s="301">
        <v>5</v>
      </c>
      <c r="Z123" s="301"/>
    </row>
    <row r="124" spans="1:26" ht="21" customHeight="1">
      <c r="A124" s="267" t="s">
        <v>151</v>
      </c>
      <c r="B124" s="488">
        <f t="shared" ref="B124:G124" si="35">SUM(B113:B123)</f>
        <v>0</v>
      </c>
      <c r="C124" s="488">
        <f t="shared" si="35"/>
        <v>483</v>
      </c>
      <c r="D124" s="488">
        <f t="shared" si="35"/>
        <v>474</v>
      </c>
      <c r="E124" s="488">
        <f t="shared" si="35"/>
        <v>444</v>
      </c>
      <c r="F124" s="488">
        <f t="shared" si="35"/>
        <v>69</v>
      </c>
      <c r="G124" s="488">
        <f t="shared" si="35"/>
        <v>1470</v>
      </c>
      <c r="H124" s="140"/>
      <c r="I124" s="140"/>
      <c r="J124" s="140"/>
      <c r="K124" s="140"/>
      <c r="L124" s="139"/>
      <c r="M124" s="140"/>
      <c r="N124" s="140"/>
      <c r="O124" s="140"/>
      <c r="P124" s="140"/>
      <c r="Q124" s="140"/>
      <c r="R124" s="140"/>
      <c r="S124" s="140"/>
      <c r="T124" s="140"/>
      <c r="U124" s="301">
        <f>SUM(U113:U123)</f>
        <v>723</v>
      </c>
      <c r="V124" s="301">
        <f>SUM(V113:V123)</f>
        <v>498</v>
      </c>
      <c r="W124" s="301">
        <f>SUM(W113:W123)</f>
        <v>386</v>
      </c>
      <c r="X124" s="301">
        <f>SUM(X113:X123)</f>
        <v>341</v>
      </c>
      <c r="Y124" s="301">
        <f>SUM(Y113:Y123)</f>
        <v>42</v>
      </c>
    </row>
    <row r="125" spans="1:26" ht="21" customHeight="1">
      <c r="A125" s="67" t="s">
        <v>152</v>
      </c>
      <c r="B125" s="67"/>
      <c r="C125" s="554"/>
      <c r="D125" s="439"/>
      <c r="E125" s="439"/>
      <c r="F125" s="439"/>
      <c r="G125" s="439">
        <f>SUM(B125:F125)</f>
        <v>0</v>
      </c>
      <c r="H125" s="131"/>
      <c r="I125" s="131"/>
      <c r="J125" s="131">
        <f>SUM(C125:F125)</f>
        <v>0</v>
      </c>
      <c r="K125" s="131"/>
      <c r="L125" s="130"/>
      <c r="M125" s="131"/>
      <c r="N125" s="131"/>
      <c r="O125" s="131"/>
      <c r="P125" s="131"/>
      <c r="Q125" s="131"/>
      <c r="R125" s="131"/>
      <c r="S125" s="131"/>
      <c r="T125" s="131"/>
      <c r="U125" s="306">
        <v>24</v>
      </c>
      <c r="V125" s="301">
        <v>44</v>
      </c>
      <c r="W125" s="301">
        <v>12</v>
      </c>
      <c r="X125" s="301"/>
      <c r="Y125" s="301"/>
    </row>
    <row r="126" spans="1:26" ht="21" customHeight="1">
      <c r="A126" s="71" t="s">
        <v>153</v>
      </c>
      <c r="B126" s="71"/>
      <c r="C126" s="553">
        <f>38</f>
        <v>38</v>
      </c>
      <c r="D126" s="434">
        <v>42</v>
      </c>
      <c r="E126" s="434"/>
      <c r="F126" s="434"/>
      <c r="G126" s="434">
        <f>SUM(B126:F126)</f>
        <v>80</v>
      </c>
      <c r="H126" s="131"/>
      <c r="I126" s="131"/>
      <c r="J126" s="131">
        <f>SUM(C126:F126)</f>
        <v>80</v>
      </c>
      <c r="K126" s="131"/>
      <c r="L126" s="130"/>
      <c r="M126" s="131"/>
      <c r="N126" s="131"/>
      <c r="O126" s="131"/>
      <c r="P126" s="131"/>
      <c r="Q126" s="131"/>
      <c r="R126" s="131"/>
      <c r="S126" s="131"/>
      <c r="T126" s="131"/>
      <c r="U126" s="306">
        <v>59</v>
      </c>
      <c r="V126" s="301">
        <v>51</v>
      </c>
      <c r="W126" s="301"/>
      <c r="X126" s="301"/>
      <c r="Y126" s="301"/>
    </row>
    <row r="127" spans="1:26" ht="21" customHeight="1">
      <c r="A127" s="71" t="s">
        <v>154</v>
      </c>
      <c r="B127" s="71"/>
      <c r="C127" s="553">
        <v>43</v>
      </c>
      <c r="D127" s="434">
        <v>25</v>
      </c>
      <c r="E127" s="434">
        <v>3</v>
      </c>
      <c r="F127" s="434">
        <v>2</v>
      </c>
      <c r="G127" s="434">
        <f>SUM(B127:F127)</f>
        <v>73</v>
      </c>
      <c r="H127" s="131"/>
      <c r="I127" s="131"/>
      <c r="J127" s="131">
        <f>SUM(C127:F127)</f>
        <v>73</v>
      </c>
      <c r="K127" s="131"/>
      <c r="L127" s="130"/>
      <c r="M127" s="131"/>
      <c r="N127" s="131"/>
      <c r="O127" s="131"/>
      <c r="P127" s="131"/>
      <c r="Q127" s="131"/>
      <c r="R127" s="131"/>
      <c r="S127" s="131"/>
      <c r="T127" s="131"/>
      <c r="U127" s="306">
        <v>82</v>
      </c>
      <c r="V127" s="301">
        <v>90</v>
      </c>
      <c r="W127" s="301">
        <v>7</v>
      </c>
      <c r="X127" s="301"/>
      <c r="Y127" s="301">
        <v>1</v>
      </c>
    </row>
    <row r="128" spans="1:26" ht="21" hidden="1" customHeight="1">
      <c r="A128" s="71" t="s">
        <v>155</v>
      </c>
      <c r="B128" s="71"/>
      <c r="C128" s="553"/>
      <c r="D128" s="434"/>
      <c r="E128" s="434"/>
      <c r="F128" s="434"/>
      <c r="G128" s="434">
        <f>SUM(C128:F128)</f>
        <v>0</v>
      </c>
      <c r="H128" s="131"/>
      <c r="I128" s="131"/>
      <c r="J128" s="131">
        <f>SUM(C128:F128)</f>
        <v>0</v>
      </c>
      <c r="K128" s="131"/>
      <c r="L128" s="130"/>
      <c r="M128" s="131"/>
      <c r="N128" s="131"/>
      <c r="O128" s="131"/>
      <c r="P128" s="131"/>
      <c r="Q128" s="131"/>
      <c r="R128" s="131"/>
      <c r="S128" s="131"/>
      <c r="T128" s="131"/>
      <c r="U128" s="306">
        <v>82</v>
      </c>
      <c r="V128" s="301">
        <v>90</v>
      </c>
      <c r="W128" s="301">
        <v>7</v>
      </c>
      <c r="X128" s="301"/>
      <c r="Y128" s="301">
        <v>1</v>
      </c>
    </row>
    <row r="129" spans="1:25" ht="21" customHeight="1">
      <c r="A129" s="69" t="s">
        <v>156</v>
      </c>
      <c r="B129" s="69"/>
      <c r="C129" s="569">
        <v>49</v>
      </c>
      <c r="D129" s="497"/>
      <c r="E129" s="497"/>
      <c r="F129" s="497">
        <v>1</v>
      </c>
      <c r="G129" s="434">
        <f>SUM(B129:F129)</f>
        <v>50</v>
      </c>
      <c r="H129" s="131"/>
      <c r="I129" s="131"/>
      <c r="J129" s="131">
        <f>SUM(C129:F129)</f>
        <v>50</v>
      </c>
      <c r="K129" s="131"/>
      <c r="L129" s="130"/>
      <c r="M129" s="131"/>
      <c r="N129" s="131"/>
      <c r="O129" s="131"/>
      <c r="P129" s="131"/>
      <c r="Q129" s="131"/>
      <c r="R129" s="131"/>
      <c r="S129" s="131"/>
      <c r="T129" s="131"/>
      <c r="U129" s="306">
        <v>57</v>
      </c>
      <c r="V129" s="301">
        <v>68</v>
      </c>
      <c r="W129" s="301">
        <v>35</v>
      </c>
      <c r="X129" s="301"/>
      <c r="Y129" s="301"/>
    </row>
    <row r="130" spans="1:25" ht="21" customHeight="1">
      <c r="A130" s="60" t="s">
        <v>157</v>
      </c>
      <c r="B130" s="49">
        <f t="shared" ref="B130:G130" si="36">SUM(B125:B129)</f>
        <v>0</v>
      </c>
      <c r="C130" s="49">
        <f t="shared" si="36"/>
        <v>130</v>
      </c>
      <c r="D130" s="49">
        <f t="shared" si="36"/>
        <v>67</v>
      </c>
      <c r="E130" s="49">
        <f t="shared" si="36"/>
        <v>3</v>
      </c>
      <c r="F130" s="49">
        <f t="shared" si="36"/>
        <v>3</v>
      </c>
      <c r="G130" s="49">
        <f t="shared" si="36"/>
        <v>203</v>
      </c>
      <c r="H130" s="135"/>
      <c r="I130" s="135"/>
      <c r="J130" s="135"/>
      <c r="K130" s="135"/>
      <c r="L130" s="134"/>
      <c r="M130" s="135"/>
      <c r="N130" s="135"/>
      <c r="O130" s="135"/>
      <c r="P130" s="135"/>
      <c r="Q130" s="135"/>
      <c r="R130" s="135"/>
      <c r="S130" s="135"/>
      <c r="T130" s="135"/>
      <c r="U130" s="518">
        <f>SUM(U125:U129)</f>
        <v>304</v>
      </c>
      <c r="V130" s="301">
        <f>SUM(V125:V129)</f>
        <v>343</v>
      </c>
      <c r="W130" s="301">
        <f>SUM(W125:W129)</f>
        <v>61</v>
      </c>
      <c r="Y130" s="301">
        <f>SUM(Y125:Y129)</f>
        <v>2</v>
      </c>
    </row>
    <row r="131" spans="1:25" ht="21" customHeight="1">
      <c r="A131" s="67" t="s">
        <v>14</v>
      </c>
      <c r="B131" s="67"/>
      <c r="C131" s="554"/>
      <c r="D131" s="439"/>
      <c r="E131" s="439"/>
      <c r="F131" s="439"/>
      <c r="G131" s="439"/>
      <c r="H131" s="131"/>
      <c r="I131" s="131"/>
      <c r="J131" s="131"/>
      <c r="K131" s="131"/>
      <c r="L131" s="130"/>
      <c r="M131" s="131"/>
      <c r="N131" s="131"/>
      <c r="O131" s="131"/>
      <c r="P131" s="131"/>
      <c r="Q131" s="131"/>
      <c r="R131" s="131"/>
      <c r="S131" s="131"/>
      <c r="T131" s="131"/>
      <c r="U131" s="321"/>
    </row>
    <row r="132" spans="1:25" ht="21" customHeight="1">
      <c r="A132" s="71" t="s">
        <v>158</v>
      </c>
      <c r="B132" s="71"/>
      <c r="C132" s="553"/>
      <c r="D132" s="434"/>
      <c r="E132" s="434"/>
      <c r="F132" s="434">
        <v>2</v>
      </c>
      <c r="G132" s="434">
        <f>SUM(B132:F132)</f>
        <v>2</v>
      </c>
      <c r="H132" s="131"/>
      <c r="I132" s="131"/>
      <c r="J132" s="131"/>
      <c r="K132" s="131"/>
      <c r="L132" s="130"/>
      <c r="M132" s="131"/>
      <c r="N132" s="131"/>
      <c r="O132" s="131"/>
      <c r="P132" s="131"/>
      <c r="Q132" s="131"/>
      <c r="R132" s="131"/>
      <c r="S132" s="131"/>
      <c r="T132" s="131"/>
    </row>
    <row r="133" spans="1:25" ht="21" customHeight="1">
      <c r="A133" s="69"/>
      <c r="B133" s="69"/>
      <c r="C133" s="569"/>
      <c r="D133" s="497"/>
      <c r="E133" s="497"/>
      <c r="F133" s="497"/>
      <c r="G133" s="497"/>
      <c r="H133" s="131"/>
      <c r="I133" s="131"/>
      <c r="J133" s="131"/>
      <c r="K133" s="131"/>
      <c r="L133" s="130"/>
      <c r="M133" s="131"/>
      <c r="N133" s="131"/>
      <c r="O133" s="131"/>
      <c r="P133" s="131"/>
      <c r="Q133" s="131"/>
      <c r="R133" s="131"/>
      <c r="S133" s="131"/>
      <c r="T133" s="131"/>
    </row>
    <row r="134" spans="1:25" ht="21" customHeight="1">
      <c r="A134" s="60" t="s">
        <v>6</v>
      </c>
      <c r="B134" s="49">
        <f t="shared" ref="B134:G134" si="37">SUM(B132:B133)</f>
        <v>0</v>
      </c>
      <c r="C134" s="49">
        <f t="shared" si="37"/>
        <v>0</v>
      </c>
      <c r="D134" s="49">
        <f t="shared" si="37"/>
        <v>0</v>
      </c>
      <c r="E134" s="49">
        <f t="shared" si="37"/>
        <v>0</v>
      </c>
      <c r="F134" s="49">
        <f t="shared" si="37"/>
        <v>2</v>
      </c>
      <c r="G134" s="49">
        <f t="shared" si="37"/>
        <v>2</v>
      </c>
      <c r="H134" s="135"/>
      <c r="I134" s="135"/>
      <c r="J134" s="135"/>
      <c r="K134" s="135"/>
      <c r="L134" s="134"/>
      <c r="M134" s="135"/>
      <c r="N134" s="135"/>
      <c r="O134" s="135"/>
      <c r="P134" s="135"/>
      <c r="Q134" s="135"/>
      <c r="R134" s="135"/>
      <c r="S134" s="135"/>
      <c r="T134" s="135"/>
    </row>
    <row r="135" spans="1:25" ht="21" customHeight="1">
      <c r="A135" s="75" t="s">
        <v>159</v>
      </c>
      <c r="B135" s="511">
        <f t="shared" ref="B135:G135" si="38">SUM(B5,B30,B51,B78,B98,B112)</f>
        <v>0</v>
      </c>
      <c r="C135" s="511">
        <f t="shared" si="38"/>
        <v>2567</v>
      </c>
      <c r="D135" s="511">
        <f t="shared" si="38"/>
        <v>2181</v>
      </c>
      <c r="E135" s="511">
        <f t="shared" si="38"/>
        <v>2424</v>
      </c>
      <c r="F135" s="511">
        <f t="shared" si="38"/>
        <v>1253</v>
      </c>
      <c r="G135" s="511">
        <f t="shared" si="38"/>
        <v>8425</v>
      </c>
      <c r="H135" s="140"/>
      <c r="I135" s="140"/>
      <c r="J135" s="140"/>
      <c r="K135" s="140">
        <f>8241+2932+46</f>
        <v>11219</v>
      </c>
      <c r="L135" s="139"/>
      <c r="M135" s="140"/>
      <c r="N135" s="140"/>
      <c r="O135" s="140"/>
      <c r="P135" s="140"/>
      <c r="Q135" s="140"/>
      <c r="R135" s="140"/>
      <c r="S135" s="140"/>
      <c r="T135" s="140"/>
      <c r="W135" s="301">
        <f>SUM(W5:W134)</f>
        <v>10892</v>
      </c>
    </row>
    <row r="136" spans="1:25" ht="21" hidden="1" customHeight="1">
      <c r="D136" s="106">
        <f>3685</f>
        <v>3685</v>
      </c>
      <c r="E136" s="106">
        <v>3141</v>
      </c>
      <c r="F136" s="106">
        <v>2290</v>
      </c>
    </row>
    <row r="137" spans="1:25" ht="21" hidden="1" customHeight="1">
      <c r="D137" s="106">
        <f>6+5</f>
        <v>11</v>
      </c>
      <c r="E137" s="106">
        <f>19+9+4</f>
        <v>32</v>
      </c>
      <c r="F137" s="106">
        <f>3+3+8</f>
        <v>14</v>
      </c>
    </row>
    <row r="138" spans="1:25" ht="21" hidden="1" customHeight="1">
      <c r="D138" s="106">
        <f>SUM(D136:D137)</f>
        <v>3696</v>
      </c>
      <c r="E138" s="106">
        <f>SUM(E136:E137)</f>
        <v>3173</v>
      </c>
      <c r="F138" s="106">
        <f>SUM(F136:F137)</f>
        <v>2304</v>
      </c>
      <c r="G138" s="106">
        <f>SUM(G136:G137)</f>
        <v>0</v>
      </c>
    </row>
    <row r="139" spans="1:25" ht="21" hidden="1" customHeight="1">
      <c r="D139" s="763" t="s">
        <v>36</v>
      </c>
      <c r="E139" s="763" t="s">
        <v>37</v>
      </c>
      <c r="F139" s="763" t="s">
        <v>160</v>
      </c>
    </row>
    <row r="140" spans="1:25" ht="21" hidden="1" customHeight="1">
      <c r="A140" s="320" t="s">
        <v>24</v>
      </c>
      <c r="B140" s="320"/>
      <c r="D140" s="106">
        <f>D135-(6+5)</f>
        <v>2170</v>
      </c>
    </row>
    <row r="141" spans="1:25" ht="21" hidden="1" customHeight="1">
      <c r="A141" s="320" t="s">
        <v>25</v>
      </c>
      <c r="B141" s="320"/>
      <c r="D141" s="106">
        <f>D23+D50+D77</f>
        <v>0</v>
      </c>
      <c r="E141" s="106">
        <f>E23+E50+E77</f>
        <v>6</v>
      </c>
      <c r="F141" s="106">
        <f>F23+F50+F77</f>
        <v>0</v>
      </c>
    </row>
    <row r="142" spans="1:25" ht="21" hidden="1" customHeight="1">
      <c r="A142" s="320" t="s">
        <v>44</v>
      </c>
      <c r="B142" s="320"/>
      <c r="D142" s="106">
        <f>D29</f>
        <v>5</v>
      </c>
    </row>
    <row r="144" spans="1:25" ht="21" customHeight="1">
      <c r="A144" s="194" t="s">
        <v>171</v>
      </c>
      <c r="B144" s="697"/>
      <c r="C144" s="698"/>
      <c r="D144" s="291" t="s">
        <v>163</v>
      </c>
      <c r="E144" s="291" t="s">
        <v>164</v>
      </c>
      <c r="F144" s="291" t="s">
        <v>6</v>
      </c>
      <c r="G144" s="699"/>
    </row>
    <row r="145" spans="1:12" ht="21" customHeight="1">
      <c r="A145" s="700" t="s">
        <v>165</v>
      </c>
      <c r="B145" s="86"/>
      <c r="C145" s="701"/>
      <c r="D145" s="113">
        <f>G20</f>
        <v>3193</v>
      </c>
      <c r="E145" s="113"/>
      <c r="F145" s="113">
        <f>SUM(D145:E145)</f>
        <v>3193</v>
      </c>
      <c r="G145" s="702">
        <f>F145+F146+F147</f>
        <v>8379</v>
      </c>
      <c r="K145" s="106" t="e">
        <f>C135+D135+E135+F135+#REF!</f>
        <v>#REF!</v>
      </c>
      <c r="L145" s="105">
        <f>8241+2932</f>
        <v>11173</v>
      </c>
    </row>
    <row r="146" spans="1:12" ht="21" customHeight="1">
      <c r="A146" s="700" t="s">
        <v>166</v>
      </c>
      <c r="B146" s="86"/>
      <c r="C146" s="701"/>
      <c r="D146" s="113">
        <f>G111+G124</f>
        <v>2662</v>
      </c>
      <c r="E146" s="113">
        <f>G42+G62+G78</f>
        <v>2210</v>
      </c>
      <c r="F146" s="113">
        <f>SUM(D146:E146)</f>
        <v>4872</v>
      </c>
      <c r="G146" s="702"/>
      <c r="K146" s="106">
        <f>F148+F149</f>
        <v>46</v>
      </c>
    </row>
    <row r="147" spans="1:12" ht="21" customHeight="1">
      <c r="A147" s="700" t="s">
        <v>167</v>
      </c>
      <c r="B147" s="86"/>
      <c r="C147" s="701"/>
      <c r="D147" s="113">
        <f>G130</f>
        <v>203</v>
      </c>
      <c r="E147" s="113">
        <f>G73</f>
        <v>111</v>
      </c>
      <c r="F147" s="113">
        <f>SUM(D147:E147)</f>
        <v>314</v>
      </c>
      <c r="G147" s="702"/>
      <c r="K147" s="106" t="e">
        <f>K145-K146</f>
        <v>#REF!</v>
      </c>
    </row>
    <row r="148" spans="1:12" ht="21" customHeight="1">
      <c r="A148" s="700" t="s">
        <v>168</v>
      </c>
      <c r="B148" s="86"/>
      <c r="C148" s="701"/>
      <c r="D148" s="113">
        <f>G134</f>
        <v>2</v>
      </c>
      <c r="E148" s="113">
        <f>G47+G77</f>
        <v>11</v>
      </c>
      <c r="F148" s="113">
        <f>SUM(D148:E148)</f>
        <v>13</v>
      </c>
      <c r="G148" s="702">
        <f>F148</f>
        <v>13</v>
      </c>
    </row>
    <row r="149" spans="1:12" ht="21" customHeight="1">
      <c r="A149" s="700" t="s">
        <v>169</v>
      </c>
      <c r="B149" s="86"/>
      <c r="C149" s="701"/>
      <c r="D149" s="113">
        <f>G29</f>
        <v>30</v>
      </c>
      <c r="E149" s="113">
        <f>G50</f>
        <v>3</v>
      </c>
      <c r="F149" s="113">
        <f>SUM(D149:E149)</f>
        <v>33</v>
      </c>
      <c r="G149" s="702">
        <f>F149</f>
        <v>33</v>
      </c>
    </row>
    <row r="150" spans="1:12" ht="21" customHeight="1">
      <c r="A150" s="703" t="s">
        <v>172</v>
      </c>
      <c r="B150" s="704"/>
      <c r="C150" s="705"/>
      <c r="D150" s="291">
        <f>SUM(D145:D149)</f>
        <v>6090</v>
      </c>
      <c r="E150" s="291">
        <f>SUM(E145:E149)</f>
        <v>2335</v>
      </c>
      <c r="F150" s="809">
        <f>D150+E150</f>
        <v>8425</v>
      </c>
      <c r="G150" s="809"/>
      <c r="K150" s="106">
        <f>8241</f>
        <v>8241</v>
      </c>
    </row>
    <row r="151" spans="1:12" ht="21" customHeight="1">
      <c r="K151" s="106">
        <v>2932</v>
      </c>
    </row>
    <row r="152" spans="1:12" ht="21" customHeight="1">
      <c r="K152" s="106">
        <v>46</v>
      </c>
    </row>
    <row r="153" spans="1:12" ht="21" customHeight="1">
      <c r="K153" s="106">
        <f>SUM(K150:K152)</f>
        <v>11219</v>
      </c>
    </row>
    <row r="154" spans="1:12" ht="21" customHeight="1">
      <c r="K154" s="106">
        <f>K153-G135</f>
        <v>2794</v>
      </c>
    </row>
  </sheetData>
  <mergeCells count="13">
    <mergeCell ref="L16:R16"/>
    <mergeCell ref="M17:Q17"/>
    <mergeCell ref="F150:G150"/>
    <mergeCell ref="A3:A4"/>
    <mergeCell ref="L4:L5"/>
    <mergeCell ref="L17:L18"/>
    <mergeCell ref="R4:R5"/>
    <mergeCell ref="R17:R18"/>
    <mergeCell ref="A1:G1"/>
    <mergeCell ref="A2:G2"/>
    <mergeCell ref="L2:R2"/>
    <mergeCell ref="B3:G3"/>
    <mergeCell ref="M4:Q4"/>
  </mergeCells>
  <printOptions horizontalCentered="1"/>
  <pageMargins left="0.47244094488188998" right="0.59055118110236204" top="0.66929133858267698" bottom="0.43307086614173201" header="0.78740157480314998" footer="0.196850393700787"/>
  <pageSetup paperSize="9" scale="95" orientation="portrait" r:id="rId1"/>
  <headerFooter alignWithMargins="0">
    <oddFooter>&amp;L&amp;P&amp;R&amp;F</oddFooter>
  </headerFooter>
  <rowBreaks count="2" manualBreakCount="2">
    <brk id="42" max="18" man="1"/>
    <brk id="6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view="pageBreakPreview" zoomScale="130" zoomScaleNormal="100" workbookViewId="0">
      <pane xSplit="1" ySplit="4" topLeftCell="E11" activePane="bottomRight" state="frozen"/>
      <selection pane="topRight"/>
      <selection pane="bottomLeft"/>
      <selection pane="bottomRight" activeCell="Q3" sqref="Q3"/>
    </sheetView>
  </sheetViews>
  <sheetFormatPr defaultColWidth="9.140625" defaultRowHeight="21"/>
  <cols>
    <col min="1" max="1" width="37.140625" style="47" customWidth="1"/>
    <col min="2" max="2" width="6.85546875" style="47" customWidth="1"/>
    <col min="3" max="3" width="7" style="47" customWidth="1"/>
    <col min="4" max="4" width="7.28515625" style="47" customWidth="1"/>
    <col min="5" max="5" width="7.140625" style="47" customWidth="1"/>
    <col min="6" max="6" width="7.28515625" style="47" customWidth="1"/>
    <col min="7" max="8" width="7.7109375" style="47" customWidth="1"/>
    <col min="9" max="9" width="8.42578125" style="47" customWidth="1"/>
    <col min="10" max="15" width="9" style="47" hidden="1" customWidth="1"/>
    <col min="16" max="16" width="8.5703125" style="47" hidden="1" customWidth="1"/>
    <col min="17" max="17" width="26.42578125" style="47" customWidth="1"/>
    <col min="18" max="20" width="8.5703125" style="47" customWidth="1"/>
    <col min="21" max="16384" width="9.140625" style="47"/>
  </cols>
  <sheetData>
    <row r="1" spans="1:25">
      <c r="A1" s="810" t="s">
        <v>173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2"/>
      <c r="Q1" s="108"/>
      <c r="R1" s="108"/>
      <c r="S1" s="108"/>
      <c r="T1" s="108"/>
    </row>
    <row r="2" spans="1:25">
      <c r="B2" s="811" t="s">
        <v>32</v>
      </c>
      <c r="C2" s="811"/>
      <c r="D2" s="811"/>
      <c r="E2" s="811"/>
      <c r="F2" s="811"/>
      <c r="G2" s="811"/>
      <c r="H2" s="812"/>
      <c r="I2" s="814" t="s">
        <v>6</v>
      </c>
    </row>
    <row r="3" spans="1:25">
      <c r="A3" s="803" t="s">
        <v>31</v>
      </c>
      <c r="B3" s="682">
        <v>2551</v>
      </c>
      <c r="C3" s="682">
        <v>2552</v>
      </c>
      <c r="D3" s="682">
        <v>2553</v>
      </c>
      <c r="E3" s="764" t="s">
        <v>36</v>
      </c>
      <c r="F3" s="764" t="s">
        <v>35</v>
      </c>
      <c r="G3" s="764" t="s">
        <v>34</v>
      </c>
      <c r="H3" s="764" t="s">
        <v>33</v>
      </c>
      <c r="I3" s="815"/>
      <c r="J3" s="765" t="s">
        <v>160</v>
      </c>
      <c r="K3" s="766" t="s">
        <v>174</v>
      </c>
      <c r="L3" s="766" t="s">
        <v>175</v>
      </c>
      <c r="M3" s="766" t="s">
        <v>176</v>
      </c>
      <c r="N3" s="766" t="s">
        <v>177</v>
      </c>
      <c r="O3" s="803" t="s">
        <v>6</v>
      </c>
    </row>
    <row r="4" spans="1:25" ht="12.75" hidden="1" customHeight="1">
      <c r="A4" s="804"/>
      <c r="B4" s="50"/>
      <c r="C4" s="50"/>
      <c r="D4" s="50"/>
      <c r="E4" s="251" t="s">
        <v>178</v>
      </c>
      <c r="F4" s="251" t="s">
        <v>178</v>
      </c>
      <c r="G4" s="251"/>
      <c r="H4" s="251"/>
      <c r="I4" s="251" t="s">
        <v>178</v>
      </c>
      <c r="J4" s="365" t="s">
        <v>178</v>
      </c>
      <c r="K4" s="365"/>
      <c r="L4" s="365"/>
      <c r="M4" s="365"/>
      <c r="N4" s="365" t="s">
        <v>179</v>
      </c>
      <c r="O4" s="816"/>
    </row>
    <row r="5" spans="1:25">
      <c r="A5" s="341" t="s">
        <v>40</v>
      </c>
      <c r="B5" s="341"/>
      <c r="C5" s="341"/>
      <c r="D5" s="341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66"/>
      <c r="Q5" s="107"/>
      <c r="R5" s="108"/>
      <c r="S5" s="108"/>
      <c r="T5" s="108"/>
      <c r="U5" s="108"/>
      <c r="V5" s="108"/>
      <c r="W5" s="108"/>
    </row>
    <row r="6" spans="1:25">
      <c r="A6" s="219" t="s">
        <v>180</v>
      </c>
      <c r="B6" s="219"/>
      <c r="C6" s="219"/>
      <c r="D6" s="219">
        <v>12</v>
      </c>
      <c r="E6" s="524">
        <v>82</v>
      </c>
      <c r="F6" s="524"/>
      <c r="G6" s="524"/>
      <c r="H6" s="524"/>
      <c r="I6" s="524">
        <f>SUM(B6:H6)</f>
        <v>94</v>
      </c>
      <c r="J6" s="367">
        <v>52</v>
      </c>
      <c r="K6" s="367">
        <v>64</v>
      </c>
      <c r="L6" s="367">
        <v>20</v>
      </c>
      <c r="M6" s="367">
        <v>54</v>
      </c>
      <c r="N6" s="367"/>
      <c r="O6" s="269">
        <f t="shared" ref="O6:O20" si="0">SUM(I6:N6)</f>
        <v>284</v>
      </c>
      <c r="P6" s="47" t="s">
        <v>165</v>
      </c>
      <c r="Q6" s="794" t="s">
        <v>30</v>
      </c>
      <c r="R6" s="794"/>
      <c r="S6" s="794"/>
      <c r="T6" s="794"/>
      <c r="U6" s="794"/>
      <c r="V6" s="794"/>
      <c r="W6" s="794"/>
    </row>
    <row r="7" spans="1:25">
      <c r="A7" s="222" t="s">
        <v>181</v>
      </c>
      <c r="B7" s="222"/>
      <c r="C7" s="222"/>
      <c r="D7" s="222">
        <v>15</v>
      </c>
      <c r="E7" s="369">
        <v>6</v>
      </c>
      <c r="F7" s="369"/>
      <c r="G7" s="369"/>
      <c r="H7" s="369"/>
      <c r="I7" s="369">
        <f>SUM(B7:H7)</f>
        <v>21</v>
      </c>
      <c r="J7" s="370">
        <v>17</v>
      </c>
      <c r="K7" s="253"/>
      <c r="L7" s="253"/>
      <c r="M7" s="253"/>
      <c r="N7" s="253"/>
      <c r="O7" s="269">
        <f t="shared" si="0"/>
        <v>38</v>
      </c>
      <c r="P7" s="47" t="s">
        <v>165</v>
      </c>
      <c r="Q7" s="107"/>
      <c r="R7" s="108"/>
      <c r="S7" s="108"/>
      <c r="T7" s="108"/>
      <c r="U7" s="108"/>
      <c r="V7" s="108"/>
      <c r="W7" s="108"/>
    </row>
    <row r="8" spans="1:25">
      <c r="A8" s="222" t="s">
        <v>182</v>
      </c>
      <c r="B8" s="222"/>
      <c r="C8" s="222"/>
      <c r="D8" s="222">
        <v>3</v>
      </c>
      <c r="E8" s="369">
        <v>67</v>
      </c>
      <c r="F8" s="369"/>
      <c r="G8" s="369"/>
      <c r="H8" s="369"/>
      <c r="I8" s="369">
        <f t="shared" ref="I8:I14" si="1">SUM(B8:H8)</f>
        <v>70</v>
      </c>
      <c r="J8" s="370">
        <v>27</v>
      </c>
      <c r="K8" s="253"/>
      <c r="L8" s="253"/>
      <c r="M8" s="253"/>
      <c r="N8" s="253"/>
      <c r="O8" s="269">
        <f t="shared" si="0"/>
        <v>97</v>
      </c>
      <c r="P8" s="47" t="s">
        <v>165</v>
      </c>
      <c r="Q8" s="805" t="s">
        <v>38</v>
      </c>
      <c r="R8" s="798" t="s">
        <v>39</v>
      </c>
      <c r="S8" s="798"/>
      <c r="T8" s="798"/>
      <c r="U8" s="798"/>
      <c r="V8" s="798"/>
      <c r="W8" s="807" t="s">
        <v>6</v>
      </c>
    </row>
    <row r="9" spans="1:25">
      <c r="A9" s="56" t="s">
        <v>183</v>
      </c>
      <c r="B9" s="56"/>
      <c r="C9" s="56"/>
      <c r="D9" s="222">
        <v>3</v>
      </c>
      <c r="E9" s="369">
        <v>26</v>
      </c>
      <c r="F9" s="253"/>
      <c r="G9" s="253"/>
      <c r="H9" s="253"/>
      <c r="I9" s="253">
        <f t="shared" si="1"/>
        <v>29</v>
      </c>
      <c r="J9" s="253">
        <v>19</v>
      </c>
      <c r="K9" s="253"/>
      <c r="L9" s="253"/>
      <c r="M9" s="253"/>
      <c r="N9" s="253"/>
      <c r="O9" s="269">
        <f t="shared" si="0"/>
        <v>48</v>
      </c>
      <c r="P9" s="47" t="s">
        <v>167</v>
      </c>
      <c r="Q9" s="817"/>
      <c r="R9" s="113" t="s">
        <v>41</v>
      </c>
      <c r="S9" s="110" t="s">
        <v>42</v>
      </c>
      <c r="T9" s="110" t="s">
        <v>43</v>
      </c>
      <c r="U9" s="110" t="s">
        <v>25</v>
      </c>
      <c r="V9" s="110" t="s">
        <v>44</v>
      </c>
      <c r="W9" s="808"/>
    </row>
    <row r="10" spans="1:25">
      <c r="A10" s="56" t="s">
        <v>184</v>
      </c>
      <c r="B10" s="56"/>
      <c r="C10" s="56"/>
      <c r="D10" s="222">
        <v>11</v>
      </c>
      <c r="E10" s="369">
        <v>27</v>
      </c>
      <c r="F10" s="253"/>
      <c r="G10" s="253"/>
      <c r="H10" s="253"/>
      <c r="I10" s="253">
        <f t="shared" si="1"/>
        <v>38</v>
      </c>
      <c r="J10" s="253"/>
      <c r="K10" s="253"/>
      <c r="L10" s="253"/>
      <c r="M10" s="253"/>
      <c r="N10" s="253"/>
      <c r="O10" s="269">
        <f t="shared" si="0"/>
        <v>38</v>
      </c>
      <c r="P10" s="47" t="s">
        <v>167</v>
      </c>
      <c r="Q10" s="126" t="s">
        <v>46</v>
      </c>
      <c r="R10" s="127">
        <f>บัณฑิตศึกษา!I39</f>
        <v>220</v>
      </c>
      <c r="S10" s="127"/>
      <c r="T10" s="127">
        <f>I20-I19</f>
        <v>410</v>
      </c>
      <c r="U10" s="127">
        <f>บัณฑิตศึกษา!I13</f>
        <v>449</v>
      </c>
      <c r="V10" s="127">
        <f>บัณฑิตศึกษา!I19</f>
        <v>152</v>
      </c>
      <c r="W10" s="127">
        <f t="shared" ref="W10:W20" si="2">SUM(R10:V10)</f>
        <v>1231</v>
      </c>
    </row>
    <row r="11" spans="1:25">
      <c r="A11" s="56" t="s">
        <v>185</v>
      </c>
      <c r="B11" s="56"/>
      <c r="C11" s="56"/>
      <c r="D11" s="222">
        <v>1</v>
      </c>
      <c r="E11" s="369">
        <v>66</v>
      </c>
      <c r="F11" s="253"/>
      <c r="G11" s="253"/>
      <c r="H11" s="253"/>
      <c r="I11" s="253">
        <f t="shared" si="1"/>
        <v>67</v>
      </c>
      <c r="J11" s="253"/>
      <c r="K11" s="253"/>
      <c r="L11" s="253"/>
      <c r="M11" s="253"/>
      <c r="N11" s="253"/>
      <c r="O11" s="269">
        <f t="shared" si="0"/>
        <v>67</v>
      </c>
      <c r="Q11" s="126" t="s">
        <v>48</v>
      </c>
      <c r="R11" s="127"/>
      <c r="S11" s="127">
        <f>I58</f>
        <v>462</v>
      </c>
      <c r="T11" s="127"/>
      <c r="U11" s="127">
        <f>บัณฑิตศึกษา!I28</f>
        <v>14</v>
      </c>
      <c r="V11" s="127"/>
      <c r="W11" s="127">
        <f t="shared" si="2"/>
        <v>476</v>
      </c>
    </row>
    <row r="12" spans="1:25">
      <c r="A12" s="56" t="s">
        <v>186</v>
      </c>
      <c r="B12" s="56"/>
      <c r="C12" s="56"/>
      <c r="D12" s="56"/>
      <c r="E12" s="369">
        <v>34</v>
      </c>
      <c r="F12" s="253"/>
      <c r="G12" s="253"/>
      <c r="H12" s="253"/>
      <c r="I12" s="253">
        <f t="shared" si="1"/>
        <v>34</v>
      </c>
      <c r="J12" s="370"/>
      <c r="K12" s="253"/>
      <c r="L12" s="253"/>
      <c r="M12" s="253"/>
      <c r="N12" s="253"/>
      <c r="O12" s="269">
        <f t="shared" si="0"/>
        <v>34</v>
      </c>
      <c r="P12" s="381">
        <v>526</v>
      </c>
      <c r="Q12" s="126" t="s">
        <v>50</v>
      </c>
      <c r="R12" s="127">
        <f>I68+I79</f>
        <v>240</v>
      </c>
      <c r="S12" s="127">
        <f>I82-R12</f>
        <v>496</v>
      </c>
      <c r="T12" s="127"/>
      <c r="U12" s="127">
        <f>บัณฑิตศึกษา!I34</f>
        <v>86</v>
      </c>
      <c r="V12" s="127">
        <f>บัณฑิตศึกษา!I35</f>
        <v>40</v>
      </c>
      <c r="W12" s="127">
        <f t="shared" si="2"/>
        <v>862</v>
      </c>
    </row>
    <row r="13" spans="1:25">
      <c r="A13" s="56" t="s">
        <v>58</v>
      </c>
      <c r="B13" s="56"/>
      <c r="C13" s="56"/>
      <c r="D13" s="222">
        <v>3</v>
      </c>
      <c r="E13" s="369">
        <v>37</v>
      </c>
      <c r="F13" s="253"/>
      <c r="G13" s="253"/>
      <c r="H13" s="253"/>
      <c r="I13" s="253">
        <f t="shared" si="1"/>
        <v>40</v>
      </c>
      <c r="J13" s="253"/>
      <c r="K13" s="253"/>
      <c r="L13" s="253"/>
      <c r="M13" s="253"/>
      <c r="N13" s="253"/>
      <c r="O13" s="269">
        <f t="shared" si="0"/>
        <v>40</v>
      </c>
      <c r="P13" s="381">
        <v>116</v>
      </c>
      <c r="Q13" s="49" t="s">
        <v>6</v>
      </c>
      <c r="R13" s="49">
        <f>SUM(R10:R12)</f>
        <v>460</v>
      </c>
      <c r="S13" s="49">
        <f t="shared" ref="S13:W13" si="3">SUM(S10:S12)</f>
        <v>958</v>
      </c>
      <c r="T13" s="49">
        <f t="shared" si="3"/>
        <v>410</v>
      </c>
      <c r="U13" s="49">
        <f t="shared" si="3"/>
        <v>549</v>
      </c>
      <c r="V13" s="49">
        <f t="shared" si="3"/>
        <v>192</v>
      </c>
      <c r="W13" s="49">
        <f t="shared" si="3"/>
        <v>2569</v>
      </c>
      <c r="X13" s="47">
        <v>153</v>
      </c>
      <c r="Y13" s="301">
        <f>SUM(W13:X13)</f>
        <v>2722</v>
      </c>
    </row>
    <row r="14" spans="1:25">
      <c r="A14" s="222" t="s">
        <v>187</v>
      </c>
      <c r="B14" s="222"/>
      <c r="C14" s="222"/>
      <c r="D14" s="222"/>
      <c r="E14" s="369">
        <v>17</v>
      </c>
      <c r="F14" s="369"/>
      <c r="G14" s="369"/>
      <c r="H14" s="369"/>
      <c r="I14" s="369">
        <f t="shared" si="1"/>
        <v>17</v>
      </c>
      <c r="J14" s="370">
        <v>24</v>
      </c>
      <c r="K14" s="253"/>
      <c r="L14" s="253"/>
      <c r="M14" s="253"/>
      <c r="N14" s="253"/>
      <c r="O14" s="269">
        <f t="shared" si="0"/>
        <v>41</v>
      </c>
      <c r="Q14" s="126" t="s">
        <v>53</v>
      </c>
      <c r="R14" s="127"/>
      <c r="S14" s="127">
        <f>I40</f>
        <v>60</v>
      </c>
      <c r="T14" s="127"/>
      <c r="U14" s="127" t="e">
        <f>บัณฑิตศึกษา!I23+บัณฑิตศึกษา!I21+บัณฑิตศึกษา!#REF!</f>
        <v>#REF!</v>
      </c>
      <c r="V14" s="127">
        <f>บัณฑิตศึกษา!I22</f>
        <v>1</v>
      </c>
      <c r="W14" s="127" t="e">
        <f t="shared" si="2"/>
        <v>#REF!</v>
      </c>
    </row>
    <row r="15" spans="1:25" hidden="1">
      <c r="A15" s="56"/>
      <c r="B15" s="56"/>
      <c r="C15" s="56"/>
      <c r="D15" s="56"/>
      <c r="E15" s="253"/>
      <c r="F15" s="253"/>
      <c r="G15" s="253"/>
      <c r="H15" s="253"/>
      <c r="I15" s="253"/>
      <c r="J15" s="370">
        <v>142</v>
      </c>
      <c r="K15" s="370">
        <v>334</v>
      </c>
      <c r="L15" s="370">
        <v>9</v>
      </c>
      <c r="M15" s="253">
        <v>1</v>
      </c>
      <c r="N15" s="253"/>
      <c r="O15" s="269">
        <f t="shared" si="0"/>
        <v>486</v>
      </c>
      <c r="P15" s="47" t="s">
        <v>165</v>
      </c>
      <c r="Q15" s="126" t="s">
        <v>55</v>
      </c>
      <c r="R15" s="127"/>
      <c r="S15" s="127"/>
      <c r="T15" s="127"/>
      <c r="U15" s="127"/>
      <c r="V15" s="127"/>
      <c r="W15" s="127">
        <f t="shared" si="2"/>
        <v>0</v>
      </c>
    </row>
    <row r="16" spans="1:25" hidden="1">
      <c r="A16" s="56" t="s">
        <v>49</v>
      </c>
      <c r="B16" s="56"/>
      <c r="C16" s="56"/>
      <c r="D16" s="56"/>
      <c r="E16" s="253"/>
      <c r="F16" s="253"/>
      <c r="G16" s="253"/>
      <c r="H16" s="253"/>
      <c r="I16" s="253"/>
      <c r="J16" s="370">
        <v>36</v>
      </c>
      <c r="K16" s="253"/>
      <c r="L16" s="253"/>
      <c r="M16" s="253"/>
      <c r="N16" s="253"/>
      <c r="O16" s="269">
        <f t="shared" si="0"/>
        <v>36</v>
      </c>
      <c r="Q16" s="126" t="s">
        <v>57</v>
      </c>
      <c r="R16" s="127"/>
      <c r="S16" s="127"/>
      <c r="T16" s="127"/>
      <c r="U16" s="127"/>
      <c r="V16" s="127"/>
      <c r="W16" s="127">
        <f t="shared" si="2"/>
        <v>0</v>
      </c>
    </row>
    <row r="17" spans="1:27" hidden="1">
      <c r="A17" s="56"/>
      <c r="B17" s="56"/>
      <c r="C17" s="56"/>
      <c r="D17" s="56"/>
      <c r="E17" s="253"/>
      <c r="F17" s="253"/>
      <c r="G17" s="253"/>
      <c r="H17" s="253"/>
      <c r="I17" s="253"/>
      <c r="J17" s="370">
        <v>42</v>
      </c>
      <c r="K17" s="370">
        <v>48</v>
      </c>
      <c r="L17" s="370">
        <v>7</v>
      </c>
      <c r="M17" s="253"/>
      <c r="N17" s="253"/>
      <c r="O17" s="269">
        <f t="shared" si="0"/>
        <v>97</v>
      </c>
      <c r="P17" s="47" t="s">
        <v>167</v>
      </c>
      <c r="Q17" s="129" t="s">
        <v>6</v>
      </c>
      <c r="R17" s="49"/>
      <c r="S17" s="49"/>
      <c r="T17" s="49"/>
      <c r="U17" s="49"/>
      <c r="V17" s="49"/>
      <c r="W17" s="127">
        <f t="shared" si="2"/>
        <v>0</v>
      </c>
    </row>
    <row r="18" spans="1:27" hidden="1">
      <c r="A18" s="56" t="s">
        <v>54</v>
      </c>
      <c r="B18" s="56"/>
      <c r="C18" s="56"/>
      <c r="D18" s="56"/>
      <c r="E18" s="253"/>
      <c r="F18" s="253"/>
      <c r="G18" s="253"/>
      <c r="H18" s="253"/>
      <c r="I18" s="253"/>
      <c r="J18" s="370">
        <v>36</v>
      </c>
      <c r="K18" s="253"/>
      <c r="L18" s="253"/>
      <c r="M18" s="253"/>
      <c r="N18" s="253"/>
      <c r="O18" s="269">
        <f t="shared" si="0"/>
        <v>36</v>
      </c>
      <c r="Q18" s="129" t="s">
        <v>21</v>
      </c>
      <c r="R18" s="49"/>
      <c r="S18" s="49"/>
      <c r="T18" s="49"/>
      <c r="U18" s="49"/>
      <c r="V18" s="49"/>
      <c r="W18" s="49">
        <f t="shared" si="2"/>
        <v>0</v>
      </c>
    </row>
    <row r="19" spans="1:27">
      <c r="A19" s="344" t="s">
        <v>12</v>
      </c>
      <c r="B19" s="344"/>
      <c r="C19" s="344"/>
      <c r="D19" s="344"/>
      <c r="E19" s="74"/>
      <c r="F19" s="345"/>
      <c r="G19" s="346"/>
      <c r="H19" s="346"/>
      <c r="I19" s="346">
        <f>SUM(B19:G19)</f>
        <v>0</v>
      </c>
      <c r="J19" s="371">
        <v>117</v>
      </c>
      <c r="K19" s="371">
        <v>146</v>
      </c>
      <c r="L19" s="256">
        <v>22</v>
      </c>
      <c r="M19" s="256"/>
      <c r="N19" s="256"/>
      <c r="O19" s="269">
        <f t="shared" si="0"/>
        <v>285</v>
      </c>
      <c r="Q19" s="126" t="s">
        <v>55</v>
      </c>
      <c r="R19" s="93"/>
      <c r="S19" s="305">
        <f>I44</f>
        <v>8</v>
      </c>
      <c r="T19" s="93"/>
      <c r="U19" s="93"/>
      <c r="V19" s="93"/>
      <c r="W19" s="305">
        <f t="shared" si="2"/>
        <v>8</v>
      </c>
      <c r="Y19" s="74">
        <v>23</v>
      </c>
      <c r="Z19" s="345">
        <f>101+202</f>
        <v>303</v>
      </c>
    </row>
    <row r="20" spans="1:27">
      <c r="A20" s="60" t="s">
        <v>6</v>
      </c>
      <c r="B20" s="60">
        <f t="shared" ref="B20:N20" si="4">SUM(B6:B19)</f>
        <v>0</v>
      </c>
      <c r="C20" s="60">
        <f t="shared" si="4"/>
        <v>0</v>
      </c>
      <c r="D20" s="60">
        <f t="shared" si="4"/>
        <v>48</v>
      </c>
      <c r="E20" s="60">
        <f t="shared" si="4"/>
        <v>362</v>
      </c>
      <c r="F20" s="60">
        <f t="shared" si="4"/>
        <v>0</v>
      </c>
      <c r="G20" s="60">
        <f t="shared" si="4"/>
        <v>0</v>
      </c>
      <c r="H20" s="60">
        <f t="shared" si="4"/>
        <v>0</v>
      </c>
      <c r="I20" s="60">
        <f t="shared" si="4"/>
        <v>410</v>
      </c>
      <c r="J20" s="60">
        <f t="shared" si="4"/>
        <v>512</v>
      </c>
      <c r="K20" s="60">
        <f t="shared" si="4"/>
        <v>592</v>
      </c>
      <c r="L20" s="60">
        <f t="shared" si="4"/>
        <v>58</v>
      </c>
      <c r="M20" s="60">
        <f t="shared" si="4"/>
        <v>55</v>
      </c>
      <c r="N20" s="60">
        <f t="shared" si="4"/>
        <v>0</v>
      </c>
      <c r="O20" s="372">
        <f t="shared" si="0"/>
        <v>1627</v>
      </c>
      <c r="P20" s="382">
        <f>1563+44+26+48+23+18+56+38</f>
        <v>1816</v>
      </c>
      <c r="Q20" s="126" t="s">
        <v>57</v>
      </c>
      <c r="R20" s="298">
        <f>I31+I32+I33+I34+I35</f>
        <v>136</v>
      </c>
      <c r="S20" s="298">
        <f>I36-R20</f>
        <v>40</v>
      </c>
      <c r="T20" s="60"/>
      <c r="U20" s="305">
        <f>บัณฑิตศึกษา!I32</f>
        <v>0</v>
      </c>
      <c r="V20" s="93"/>
      <c r="W20" s="305">
        <f t="shared" si="2"/>
        <v>176</v>
      </c>
      <c r="X20" s="306"/>
      <c r="Y20" s="306"/>
    </row>
    <row r="21" spans="1:27">
      <c r="A21" s="257" t="s">
        <v>188</v>
      </c>
      <c r="B21" s="257"/>
      <c r="C21" s="257"/>
      <c r="D21" s="257"/>
      <c r="E21" s="271"/>
      <c r="F21" s="347"/>
      <c r="G21" s="271"/>
      <c r="H21" s="271"/>
      <c r="I21" s="271"/>
      <c r="J21" s="271"/>
      <c r="K21" s="271"/>
      <c r="L21" s="271"/>
      <c r="M21" s="271"/>
      <c r="N21" s="271"/>
      <c r="O21" s="259"/>
      <c r="P21" s="47">
        <f>1844-1816</f>
        <v>28</v>
      </c>
      <c r="Q21" s="129" t="s">
        <v>6</v>
      </c>
      <c r="R21" s="49">
        <f t="shared" ref="R21:W21" si="5">SUM(R14:R20)</f>
        <v>136</v>
      </c>
      <c r="S21" s="49">
        <f t="shared" si="5"/>
        <v>108</v>
      </c>
      <c r="T21" s="49">
        <f t="shared" si="5"/>
        <v>0</v>
      </c>
      <c r="U21" s="49" t="e">
        <f t="shared" si="5"/>
        <v>#REF!</v>
      </c>
      <c r="V21" s="49">
        <f t="shared" si="5"/>
        <v>1</v>
      </c>
      <c r="W21" s="49" t="e">
        <f t="shared" si="5"/>
        <v>#REF!</v>
      </c>
    </row>
    <row r="22" spans="1:27">
      <c r="A22" s="67" t="s">
        <v>189</v>
      </c>
      <c r="B22" s="67"/>
      <c r="C22" s="67"/>
      <c r="D22" s="67"/>
      <c r="E22" s="261"/>
      <c r="F22" s="46">
        <v>19</v>
      </c>
      <c r="G22" s="373">
        <v>16</v>
      </c>
      <c r="H22" s="287"/>
      <c r="I22" s="253">
        <f t="shared" ref="I22:I35" si="6">SUM(B22:H22)</f>
        <v>35</v>
      </c>
      <c r="J22" s="261"/>
      <c r="K22" s="261"/>
      <c r="L22" s="261"/>
      <c r="M22" s="261"/>
      <c r="N22" s="261"/>
      <c r="O22" s="269">
        <f>SUM(I22:N22)</f>
        <v>35</v>
      </c>
      <c r="Q22" s="129" t="s">
        <v>21</v>
      </c>
      <c r="R22" s="686">
        <f>SUM(R13,R21)</f>
        <v>596</v>
      </c>
      <c r="S22" s="686">
        <f t="shared" ref="S22:W22" si="7">SUM(S13,S21)</f>
        <v>1066</v>
      </c>
      <c r="T22" s="686">
        <f t="shared" si="7"/>
        <v>410</v>
      </c>
      <c r="U22" s="686" t="e">
        <f t="shared" si="7"/>
        <v>#REF!</v>
      </c>
      <c r="V22" s="686">
        <f t="shared" si="7"/>
        <v>193</v>
      </c>
      <c r="W22" s="686" t="e">
        <f t="shared" si="7"/>
        <v>#REF!</v>
      </c>
    </row>
    <row r="23" spans="1:27">
      <c r="A23" s="67" t="s">
        <v>190</v>
      </c>
      <c r="B23" s="67"/>
      <c r="C23" s="67"/>
      <c r="D23" s="223">
        <v>2</v>
      </c>
      <c r="E23" s="354">
        <v>2</v>
      </c>
      <c r="G23" s="287"/>
      <c r="H23" s="287"/>
      <c r="I23" s="253">
        <f t="shared" si="6"/>
        <v>4</v>
      </c>
      <c r="J23" s="268"/>
      <c r="K23" s="268"/>
      <c r="L23" s="268"/>
      <c r="M23" s="268"/>
      <c r="N23" s="268"/>
      <c r="O23" s="269">
        <f>SUM(I23:N23)</f>
        <v>4</v>
      </c>
      <c r="R23" s="813">
        <f>R22+S22+T22</f>
        <v>2072</v>
      </c>
      <c r="S23" s="811"/>
      <c r="T23" s="812"/>
      <c r="U23" s="687" t="e">
        <f>U22+V22</f>
        <v>#REF!</v>
      </c>
      <c r="V23" s="687">
        <f>R10</f>
        <v>220</v>
      </c>
      <c r="W23" s="687" t="e">
        <f>SUM(U23:V23)</f>
        <v>#REF!</v>
      </c>
      <c r="X23" s="688">
        <f>ปกติ!G149+ปกติ!G150</f>
        <v>55</v>
      </c>
      <c r="Y23" s="687" t="e">
        <f>SUM(W23:X23)</f>
        <v>#REF!</v>
      </c>
    </row>
    <row r="24" spans="1:27">
      <c r="A24" s="67" t="s">
        <v>191</v>
      </c>
      <c r="B24" s="67"/>
      <c r="C24" s="67"/>
      <c r="D24" s="67"/>
      <c r="E24" s="268"/>
      <c r="F24" s="352"/>
      <c r="G24" s="268"/>
      <c r="H24" s="268"/>
      <c r="I24" s="253">
        <f t="shared" si="6"/>
        <v>0</v>
      </c>
      <c r="J24" s="374"/>
      <c r="K24" s="374"/>
      <c r="L24" s="268"/>
      <c r="M24" s="268"/>
      <c r="N24" s="268"/>
      <c r="O24" s="269">
        <f t="shared" ref="O24:O82" si="8">SUM(I24:N24)</f>
        <v>0</v>
      </c>
      <c r="Q24" s="47" t="s">
        <v>192</v>
      </c>
      <c r="V24" s="45" t="s">
        <v>162</v>
      </c>
      <c r="W24" s="47">
        <f>841+204</f>
        <v>1045</v>
      </c>
      <c r="X24" s="47">
        <v>67</v>
      </c>
      <c r="Y24" s="47">
        <f>SUM(W24:X24)</f>
        <v>1112</v>
      </c>
      <c r="Z24" s="47">
        <v>46</v>
      </c>
      <c r="AA24" s="47">
        <f>SUM(Y24:Z24)</f>
        <v>1158</v>
      </c>
    </row>
    <row r="25" spans="1:27">
      <c r="A25" s="67" t="s">
        <v>193</v>
      </c>
      <c r="B25" s="67"/>
      <c r="C25" s="67"/>
      <c r="D25" s="67"/>
      <c r="E25" s="348">
        <v>1</v>
      </c>
      <c r="F25" s="265"/>
      <c r="G25" s="268"/>
      <c r="H25" s="268"/>
      <c r="I25" s="253">
        <f t="shared" si="6"/>
        <v>1</v>
      </c>
      <c r="J25" s="261"/>
      <c r="K25" s="261"/>
      <c r="L25" s="261"/>
      <c r="M25" s="261"/>
      <c r="N25" s="261"/>
      <c r="O25" s="269">
        <f t="shared" si="8"/>
        <v>1</v>
      </c>
      <c r="V25" s="45" t="s">
        <v>194</v>
      </c>
    </row>
    <row r="26" spans="1:27" hidden="1">
      <c r="A26" s="67" t="s">
        <v>195</v>
      </c>
      <c r="B26" s="67"/>
      <c r="C26" s="67"/>
      <c r="D26" s="67"/>
      <c r="E26" s="268"/>
      <c r="F26" s="265"/>
      <c r="G26" s="268"/>
      <c r="H26" s="268"/>
      <c r="I26" s="253">
        <f t="shared" si="6"/>
        <v>0</v>
      </c>
      <c r="J26" s="268"/>
      <c r="K26" s="268"/>
      <c r="L26" s="268"/>
      <c r="M26" s="268"/>
      <c r="N26" s="268"/>
      <c r="O26" s="269"/>
    </row>
    <row r="27" spans="1:27" hidden="1">
      <c r="A27" s="67" t="s">
        <v>196</v>
      </c>
      <c r="B27" s="67"/>
      <c r="C27" s="67"/>
      <c r="D27" s="67"/>
      <c r="E27" s="268"/>
      <c r="F27" s="352"/>
      <c r="G27" s="268"/>
      <c r="H27" s="268"/>
      <c r="I27" s="253">
        <f t="shared" si="6"/>
        <v>0</v>
      </c>
      <c r="J27" s="268"/>
      <c r="K27" s="268"/>
      <c r="L27" s="268"/>
      <c r="M27" s="268"/>
      <c r="N27" s="268"/>
      <c r="O27" s="269"/>
    </row>
    <row r="28" spans="1:27" hidden="1">
      <c r="A28" s="67" t="s">
        <v>197</v>
      </c>
      <c r="B28" s="67"/>
      <c r="C28" s="67"/>
      <c r="D28" s="67"/>
      <c r="E28" s="268"/>
      <c r="F28" s="352"/>
      <c r="G28" s="268"/>
      <c r="H28" s="268"/>
      <c r="I28" s="253">
        <f t="shared" si="6"/>
        <v>0</v>
      </c>
      <c r="J28" s="374"/>
      <c r="K28" s="374"/>
      <c r="L28" s="268"/>
      <c r="M28" s="268"/>
      <c r="N28" s="268"/>
      <c r="O28" s="269">
        <f>SUM(I28:N28)</f>
        <v>0</v>
      </c>
    </row>
    <row r="29" spans="1:27" hidden="1">
      <c r="A29" s="67" t="s">
        <v>198</v>
      </c>
      <c r="B29" s="67"/>
      <c r="C29" s="67"/>
      <c r="D29" s="67"/>
      <c r="E29" s="268"/>
      <c r="F29" s="352"/>
      <c r="G29" s="268"/>
      <c r="H29" s="268"/>
      <c r="I29" s="253">
        <f t="shared" si="6"/>
        <v>0</v>
      </c>
      <c r="J29" s="374"/>
      <c r="K29" s="374"/>
      <c r="L29" s="268"/>
      <c r="M29" s="268"/>
      <c r="N29" s="268"/>
      <c r="O29" s="269">
        <f t="shared" si="8"/>
        <v>0</v>
      </c>
    </row>
    <row r="30" spans="1:27" hidden="1">
      <c r="A30" s="67" t="s">
        <v>199</v>
      </c>
      <c r="B30" s="67"/>
      <c r="C30" s="67"/>
      <c r="D30" s="67"/>
      <c r="E30" s="268"/>
      <c r="F30" s="352"/>
      <c r="G30" s="268"/>
      <c r="H30" s="268"/>
      <c r="I30" s="253">
        <f t="shared" si="6"/>
        <v>0</v>
      </c>
      <c r="J30" s="374"/>
      <c r="K30" s="374"/>
      <c r="L30" s="268"/>
      <c r="M30" s="268"/>
      <c r="N30" s="268"/>
      <c r="O30" s="269">
        <f t="shared" ref="O30:O35" si="9">SUM(I30:N30)</f>
        <v>0</v>
      </c>
    </row>
    <row r="31" spans="1:27">
      <c r="A31" s="67" t="s">
        <v>200</v>
      </c>
      <c r="B31" s="67"/>
      <c r="C31" s="67"/>
      <c r="D31" s="67"/>
      <c r="E31" s="261"/>
      <c r="F31" s="353">
        <v>2</v>
      </c>
      <c r="G31" s="354"/>
      <c r="H31" s="354">
        <v>1</v>
      </c>
      <c r="I31" s="369">
        <f t="shared" si="6"/>
        <v>3</v>
      </c>
      <c r="J31" s="261"/>
      <c r="K31" s="261"/>
      <c r="L31" s="261"/>
      <c r="M31" s="261"/>
      <c r="N31" s="261"/>
      <c r="O31" s="269">
        <f t="shared" si="9"/>
        <v>3</v>
      </c>
      <c r="Q31" s="47" t="s">
        <v>201</v>
      </c>
      <c r="T31" s="301">
        <f>T22+S22+R22</f>
        <v>2072</v>
      </c>
      <c r="V31" s="47">
        <f>343-120</f>
        <v>223</v>
      </c>
      <c r="W31" s="47">
        <v>415</v>
      </c>
      <c r="X31" s="47">
        <f>SUM(V31:W31)</f>
        <v>638</v>
      </c>
    </row>
    <row r="32" spans="1:27">
      <c r="A32" s="67" t="s">
        <v>202</v>
      </c>
      <c r="B32" s="67"/>
      <c r="C32" s="67"/>
      <c r="D32" s="67"/>
      <c r="E32" s="268"/>
      <c r="F32" s="355">
        <v>4</v>
      </c>
      <c r="G32" s="354">
        <v>30</v>
      </c>
      <c r="H32" s="354">
        <v>27</v>
      </c>
      <c r="I32" s="369">
        <f t="shared" si="6"/>
        <v>61</v>
      </c>
      <c r="J32" s="268"/>
      <c r="K32" s="268"/>
      <c r="L32" s="268"/>
      <c r="M32" s="268"/>
      <c r="N32" s="268"/>
      <c r="O32" s="269">
        <f t="shared" si="9"/>
        <v>61</v>
      </c>
      <c r="T32" s="47">
        <v>329</v>
      </c>
    </row>
    <row r="33" spans="1:26">
      <c r="A33" s="67" t="s">
        <v>203</v>
      </c>
      <c r="B33" s="67"/>
      <c r="C33" s="67"/>
      <c r="D33" s="67"/>
      <c r="E33" s="268"/>
      <c r="F33" s="352"/>
      <c r="G33" s="268"/>
      <c r="H33" s="268"/>
      <c r="I33" s="253">
        <f t="shared" si="6"/>
        <v>0</v>
      </c>
      <c r="J33" s="268"/>
      <c r="K33" s="268"/>
      <c r="L33" s="268"/>
      <c r="M33" s="268"/>
      <c r="N33" s="268"/>
      <c r="O33" s="269">
        <f t="shared" si="9"/>
        <v>0</v>
      </c>
      <c r="R33" s="47">
        <f>2333+240</f>
        <v>2573</v>
      </c>
      <c r="T33" s="301">
        <f>T31-T32</f>
        <v>1743</v>
      </c>
    </row>
    <row r="34" spans="1:26">
      <c r="A34" s="67" t="s">
        <v>204</v>
      </c>
      <c r="B34" s="67"/>
      <c r="C34" s="67"/>
      <c r="D34" s="67"/>
      <c r="E34" s="268"/>
      <c r="F34" s="355">
        <v>1</v>
      </c>
      <c r="G34" s="354">
        <v>27</v>
      </c>
      <c r="H34" s="354">
        <v>31</v>
      </c>
      <c r="I34" s="369">
        <f t="shared" si="6"/>
        <v>59</v>
      </c>
      <c r="J34" s="268"/>
      <c r="K34" s="268"/>
      <c r="L34" s="268"/>
      <c r="M34" s="268"/>
      <c r="N34" s="268"/>
      <c r="O34" s="269">
        <f t="shared" si="9"/>
        <v>59</v>
      </c>
    </row>
    <row r="35" spans="1:26">
      <c r="A35" s="67" t="s">
        <v>205</v>
      </c>
      <c r="B35" s="67"/>
      <c r="C35" s="67"/>
      <c r="D35" s="67"/>
      <c r="E35" s="268"/>
      <c r="F35" s="352"/>
      <c r="G35" s="356">
        <v>13</v>
      </c>
      <c r="H35" s="259"/>
      <c r="I35" s="268">
        <f t="shared" si="6"/>
        <v>13</v>
      </c>
      <c r="J35" s="374"/>
      <c r="K35" s="374"/>
      <c r="L35" s="268"/>
      <c r="M35" s="268"/>
      <c r="N35" s="268"/>
      <c r="O35" s="269">
        <f t="shared" si="9"/>
        <v>13</v>
      </c>
      <c r="S35" s="47">
        <f>1852+216</f>
        <v>2068</v>
      </c>
    </row>
    <row r="36" spans="1:26">
      <c r="A36" s="60" t="s">
        <v>6</v>
      </c>
      <c r="B36" s="234">
        <f t="shared" ref="B36:I36" si="10">SUM(B22:B35)</f>
        <v>0</v>
      </c>
      <c r="C36" s="234">
        <f t="shared" si="10"/>
        <v>0</v>
      </c>
      <c r="D36" s="234">
        <f t="shared" si="10"/>
        <v>2</v>
      </c>
      <c r="E36" s="234">
        <f t="shared" si="10"/>
        <v>3</v>
      </c>
      <c r="F36" s="234">
        <f t="shared" si="10"/>
        <v>26</v>
      </c>
      <c r="G36" s="234">
        <f t="shared" si="10"/>
        <v>86</v>
      </c>
      <c r="H36" s="234">
        <f t="shared" si="10"/>
        <v>59</v>
      </c>
      <c r="I36" s="234">
        <f t="shared" si="10"/>
        <v>176</v>
      </c>
      <c r="J36" s="234">
        <f>SUM(J24:J26)</f>
        <v>0</v>
      </c>
      <c r="K36" s="234">
        <f>SUM(K24:K26)</f>
        <v>0</v>
      </c>
      <c r="L36" s="234">
        <f>SUM(L24:L26)</f>
        <v>0</v>
      </c>
      <c r="M36" s="234">
        <f>SUM(M24:M26)</f>
        <v>0</v>
      </c>
      <c r="N36" s="234">
        <f>SUM(N24:N26)</f>
        <v>0</v>
      </c>
      <c r="O36" s="372">
        <f t="shared" si="8"/>
        <v>176</v>
      </c>
      <c r="P36" s="383">
        <f>138+24+17</f>
        <v>179</v>
      </c>
      <c r="Q36" s="302">
        <f>G36</f>
        <v>86</v>
      </c>
      <c r="R36" s="302"/>
      <c r="S36" s="302"/>
      <c r="T36" s="302"/>
      <c r="V36" s="312">
        <f>E36</f>
        <v>3</v>
      </c>
      <c r="W36" s="47" t="s">
        <v>206</v>
      </c>
    </row>
    <row r="37" spans="1:26">
      <c r="A37" s="357" t="s">
        <v>70</v>
      </c>
      <c r="B37" s="357"/>
      <c r="C37" s="357"/>
      <c r="D37" s="357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269">
        <f t="shared" si="8"/>
        <v>0</v>
      </c>
    </row>
    <row r="38" spans="1:26" s="46" customFormat="1">
      <c r="A38" s="359" t="s">
        <v>207</v>
      </c>
      <c r="B38" s="359"/>
      <c r="C38" s="359"/>
      <c r="D38" s="683"/>
      <c r="E38" s="360"/>
      <c r="F38" s="360">
        <v>16</v>
      </c>
      <c r="G38" s="360">
        <v>20</v>
      </c>
      <c r="H38" s="360">
        <v>24</v>
      </c>
      <c r="I38" s="360">
        <f>SUM(B38:H38)</f>
        <v>60</v>
      </c>
      <c r="J38" s="360"/>
      <c r="K38" s="360"/>
      <c r="L38" s="360"/>
      <c r="M38" s="685">
        <v>26</v>
      </c>
      <c r="N38" s="685"/>
      <c r="O38" s="364">
        <f t="shared" si="8"/>
        <v>86</v>
      </c>
      <c r="U38" s="689">
        <v>120</v>
      </c>
    </row>
    <row r="39" spans="1:26">
      <c r="A39" s="71" t="s">
        <v>72</v>
      </c>
      <c r="B39" s="71"/>
      <c r="C39" s="71"/>
      <c r="D39" s="71"/>
      <c r="E39" s="261"/>
      <c r="F39" s="261"/>
      <c r="G39" s="261"/>
      <c r="H39" s="261"/>
      <c r="I39" s="261">
        <f>SUM(B39:H39)</f>
        <v>0</v>
      </c>
      <c r="J39" s="261"/>
      <c r="K39" s="261"/>
      <c r="L39" s="261"/>
      <c r="M39" s="377">
        <v>12</v>
      </c>
      <c r="N39" s="261"/>
      <c r="O39" s="269">
        <f t="shared" si="8"/>
        <v>12</v>
      </c>
    </row>
    <row r="40" spans="1:26">
      <c r="A40" s="60" t="s">
        <v>6</v>
      </c>
      <c r="B40" s="234">
        <f t="shared" ref="B40:N40" si="11">SUM(B38:B39)</f>
        <v>0</v>
      </c>
      <c r="C40" s="234">
        <f t="shared" si="11"/>
        <v>0</v>
      </c>
      <c r="D40" s="234">
        <f t="shared" si="11"/>
        <v>0</v>
      </c>
      <c r="E40" s="234">
        <f t="shared" si="11"/>
        <v>0</v>
      </c>
      <c r="F40" s="234">
        <f t="shared" si="11"/>
        <v>16</v>
      </c>
      <c r="G40" s="234">
        <f t="shared" si="11"/>
        <v>20</v>
      </c>
      <c r="H40" s="234">
        <f t="shared" si="11"/>
        <v>24</v>
      </c>
      <c r="I40" s="234">
        <f t="shared" si="11"/>
        <v>60</v>
      </c>
      <c r="J40" s="234">
        <f t="shared" si="11"/>
        <v>0</v>
      </c>
      <c r="K40" s="234">
        <f t="shared" si="11"/>
        <v>0</v>
      </c>
      <c r="L40" s="234">
        <f t="shared" si="11"/>
        <v>0</v>
      </c>
      <c r="M40" s="234">
        <f t="shared" si="11"/>
        <v>38</v>
      </c>
      <c r="N40" s="234">
        <f t="shared" si="11"/>
        <v>0</v>
      </c>
      <c r="O40" s="372">
        <f t="shared" si="8"/>
        <v>98</v>
      </c>
      <c r="Q40" s="302">
        <f>G40</f>
        <v>20</v>
      </c>
      <c r="R40" s="302"/>
      <c r="S40" s="302"/>
    </row>
    <row r="41" spans="1:26">
      <c r="A41" s="357" t="s">
        <v>108</v>
      </c>
      <c r="B41" s="357"/>
      <c r="C41" s="357"/>
      <c r="D41" s="357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269">
        <f t="shared" si="8"/>
        <v>0</v>
      </c>
    </row>
    <row r="42" spans="1:26" s="46" customFormat="1">
      <c r="A42" s="270" t="s">
        <v>55</v>
      </c>
      <c r="B42" s="270"/>
      <c r="C42" s="270"/>
      <c r="D42" s="684"/>
      <c r="E42" s="271"/>
      <c r="F42" s="360">
        <v>8</v>
      </c>
      <c r="G42" s="271"/>
      <c r="H42" s="271"/>
      <c r="I42" s="271">
        <f>SUM(B42:H42)</f>
        <v>8</v>
      </c>
      <c r="J42" s="360"/>
      <c r="K42" s="360"/>
      <c r="L42" s="360"/>
      <c r="M42" s="685">
        <v>26</v>
      </c>
      <c r="N42" s="685"/>
      <c r="O42" s="364">
        <f t="shared" si="8"/>
        <v>34</v>
      </c>
      <c r="U42" s="689">
        <v>120</v>
      </c>
    </row>
    <row r="43" spans="1:26">
      <c r="A43" s="71"/>
      <c r="B43" s="71"/>
      <c r="C43" s="71"/>
      <c r="D43" s="71"/>
      <c r="E43" s="261"/>
      <c r="F43" s="261"/>
      <c r="G43" s="261"/>
      <c r="H43" s="261"/>
      <c r="I43" s="261"/>
      <c r="J43" s="261"/>
      <c r="K43" s="261"/>
      <c r="L43" s="261"/>
      <c r="M43" s="377"/>
      <c r="N43" s="261"/>
      <c r="O43" s="269"/>
    </row>
    <row r="44" spans="1:26">
      <c r="A44" s="60" t="s">
        <v>6</v>
      </c>
      <c r="B44" s="234">
        <f t="shared" ref="B44:N44" si="12">SUM(B42:B43)</f>
        <v>0</v>
      </c>
      <c r="C44" s="234">
        <f t="shared" si="12"/>
        <v>0</v>
      </c>
      <c r="D44" s="234">
        <f t="shared" si="12"/>
        <v>0</v>
      </c>
      <c r="E44" s="234">
        <f t="shared" si="12"/>
        <v>0</v>
      </c>
      <c r="F44" s="234">
        <f t="shared" si="12"/>
        <v>8</v>
      </c>
      <c r="G44" s="234">
        <f t="shared" si="12"/>
        <v>0</v>
      </c>
      <c r="H44" s="234">
        <f t="shared" si="12"/>
        <v>0</v>
      </c>
      <c r="I44" s="234">
        <f t="shared" si="12"/>
        <v>8</v>
      </c>
      <c r="J44" s="234">
        <f t="shared" si="12"/>
        <v>0</v>
      </c>
      <c r="K44" s="234">
        <f t="shared" si="12"/>
        <v>0</v>
      </c>
      <c r="L44" s="234">
        <f t="shared" si="12"/>
        <v>0</v>
      </c>
      <c r="M44" s="234">
        <f t="shared" si="12"/>
        <v>26</v>
      </c>
      <c r="N44" s="234">
        <f t="shared" si="12"/>
        <v>0</v>
      </c>
      <c r="O44" s="372">
        <f t="shared" si="8"/>
        <v>34</v>
      </c>
      <c r="Q44" s="302">
        <f>G44</f>
        <v>0</v>
      </c>
      <c r="R44" s="302"/>
      <c r="S44" s="302"/>
    </row>
    <row r="45" spans="1:26">
      <c r="A45" s="357" t="s">
        <v>125</v>
      </c>
      <c r="B45" s="357"/>
      <c r="C45" s="357"/>
      <c r="D45" s="357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269">
        <f t="shared" si="8"/>
        <v>0</v>
      </c>
    </row>
    <row r="46" spans="1:26">
      <c r="A46" s="270" t="s">
        <v>208</v>
      </c>
      <c r="B46" s="270"/>
      <c r="C46" s="270"/>
      <c r="D46" s="270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69">
        <f t="shared" si="8"/>
        <v>0</v>
      </c>
    </row>
    <row r="47" spans="1:26">
      <c r="A47" s="71" t="s">
        <v>127</v>
      </c>
      <c r="B47" s="71"/>
      <c r="C47" s="71"/>
      <c r="D47" s="226">
        <v>3</v>
      </c>
      <c r="E47" s="348">
        <v>13</v>
      </c>
      <c r="F47" s="348">
        <f>23+10</f>
        <v>33</v>
      </c>
      <c r="G47" s="348">
        <v>26</v>
      </c>
      <c r="H47" s="348">
        <v>32</v>
      </c>
      <c r="I47" s="348">
        <f>SUM(B47:H47)</f>
        <v>107</v>
      </c>
      <c r="J47" s="261"/>
      <c r="K47" s="377">
        <v>28</v>
      </c>
      <c r="L47" s="261"/>
      <c r="M47" s="261"/>
      <c r="N47" s="261"/>
      <c r="O47" s="269">
        <f t="shared" si="8"/>
        <v>135</v>
      </c>
      <c r="V47" s="47" t="s">
        <v>209</v>
      </c>
      <c r="W47" s="306">
        <f>I58-(X47+Y47)</f>
        <v>237</v>
      </c>
      <c r="X47" s="306">
        <f>I52+I57</f>
        <v>225</v>
      </c>
      <c r="Y47" s="306">
        <f>I56</f>
        <v>0</v>
      </c>
      <c r="Z47" s="306">
        <f>SUM(W47:Y47)</f>
        <v>462</v>
      </c>
    </row>
    <row r="48" spans="1:26" hidden="1">
      <c r="A48" s="71" t="s">
        <v>130</v>
      </c>
      <c r="B48" s="71"/>
      <c r="C48" s="71"/>
      <c r="D48" s="7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9">
        <f t="shared" si="8"/>
        <v>0</v>
      </c>
    </row>
    <row r="49" spans="1:23">
      <c r="A49" s="71" t="s">
        <v>129</v>
      </c>
      <c r="B49" s="71"/>
      <c r="C49" s="71"/>
      <c r="D49" s="71"/>
      <c r="E49" s="261"/>
      <c r="F49" s="348">
        <v>17</v>
      </c>
      <c r="G49" s="348">
        <v>33</v>
      </c>
      <c r="H49" s="348">
        <v>27</v>
      </c>
      <c r="I49" s="348">
        <f>SUM(B49:H49)</f>
        <v>77</v>
      </c>
      <c r="J49" s="261"/>
      <c r="K49" s="377">
        <v>28</v>
      </c>
      <c r="L49" s="261"/>
      <c r="M49" s="261"/>
      <c r="N49" s="261"/>
      <c r="O49" s="269">
        <f t="shared" si="8"/>
        <v>105</v>
      </c>
    </row>
    <row r="50" spans="1:23">
      <c r="A50" s="71" t="s">
        <v>133</v>
      </c>
      <c r="B50" s="71"/>
      <c r="C50" s="71"/>
      <c r="D50" s="71"/>
      <c r="E50" s="261"/>
      <c r="F50" s="261"/>
      <c r="G50" s="261"/>
      <c r="H50" s="261"/>
      <c r="I50" s="261">
        <f>SUM(B50:H50)</f>
        <v>0</v>
      </c>
      <c r="J50" s="261"/>
      <c r="K50" s="377">
        <v>28</v>
      </c>
      <c r="L50" s="261"/>
      <c r="M50" s="261"/>
      <c r="N50" s="261"/>
      <c r="O50" s="269">
        <f t="shared" si="8"/>
        <v>28</v>
      </c>
    </row>
    <row r="51" spans="1:23">
      <c r="A51" s="71" t="s">
        <v>210</v>
      </c>
      <c r="B51" s="71"/>
      <c r="C51" s="71"/>
      <c r="D51" s="226">
        <v>2</v>
      </c>
      <c r="E51" s="348">
        <v>18</v>
      </c>
      <c r="F51" s="348">
        <v>16</v>
      </c>
      <c r="G51" s="348"/>
      <c r="H51" s="348">
        <v>17</v>
      </c>
      <c r="I51" s="348">
        <f>SUM(B51:H51)</f>
        <v>53</v>
      </c>
      <c r="J51" s="377"/>
      <c r="K51" s="377"/>
      <c r="L51" s="261"/>
      <c r="M51" s="261"/>
      <c r="N51" s="261"/>
      <c r="O51" s="269">
        <f t="shared" si="8"/>
        <v>53</v>
      </c>
      <c r="P51" s="47" t="s">
        <v>167</v>
      </c>
      <c r="Q51" s="46"/>
    </row>
    <row r="52" spans="1:23">
      <c r="A52" s="71" t="s">
        <v>136</v>
      </c>
      <c r="B52" s="71"/>
      <c r="C52" s="71"/>
      <c r="D52" s="71"/>
      <c r="E52" s="261"/>
      <c r="F52" s="348">
        <v>29</v>
      </c>
      <c r="G52" s="348">
        <v>21</v>
      </c>
      <c r="H52" s="348">
        <v>22</v>
      </c>
      <c r="I52" s="261">
        <f>SUM(B52:H52)</f>
        <v>72</v>
      </c>
      <c r="J52" s="377">
        <v>21</v>
      </c>
      <c r="K52" s="377">
        <v>18</v>
      </c>
      <c r="L52" s="261">
        <v>1</v>
      </c>
      <c r="M52" s="261">
        <v>2</v>
      </c>
      <c r="N52" s="261"/>
      <c r="O52" s="269">
        <f t="shared" si="8"/>
        <v>114</v>
      </c>
      <c r="P52" s="47" t="s">
        <v>167</v>
      </c>
    </row>
    <row r="53" spans="1:23" hidden="1">
      <c r="A53" s="71" t="s">
        <v>211</v>
      </c>
      <c r="B53" s="71"/>
      <c r="C53" s="71"/>
      <c r="D53" s="71"/>
      <c r="E53" s="261"/>
      <c r="F53" s="261"/>
      <c r="G53" s="261"/>
      <c r="H53" s="261"/>
      <c r="I53" s="261">
        <f>SUM(B53:F53)</f>
        <v>0</v>
      </c>
      <c r="J53" s="261"/>
      <c r="K53" s="261"/>
      <c r="L53" s="261"/>
      <c r="M53" s="261"/>
      <c r="N53" s="261"/>
      <c r="O53" s="269">
        <f t="shared" si="8"/>
        <v>0</v>
      </c>
    </row>
    <row r="54" spans="1:23" hidden="1">
      <c r="A54" s="71" t="s">
        <v>133</v>
      </c>
      <c r="B54" s="71"/>
      <c r="C54" s="71"/>
      <c r="D54" s="71"/>
      <c r="E54" s="261"/>
      <c r="F54" s="261"/>
      <c r="G54" s="261"/>
      <c r="H54" s="261"/>
      <c r="I54" s="261">
        <f>SUM(B54:F54)</f>
        <v>0</v>
      </c>
      <c r="J54" s="261"/>
      <c r="K54" s="261"/>
      <c r="L54" s="377">
        <v>12</v>
      </c>
      <c r="M54" s="261"/>
      <c r="N54" s="261"/>
      <c r="O54" s="269">
        <f t="shared" si="8"/>
        <v>12</v>
      </c>
    </row>
    <row r="55" spans="1:23" hidden="1">
      <c r="A55" s="71" t="s">
        <v>212</v>
      </c>
      <c r="B55" s="71"/>
      <c r="C55" s="71"/>
      <c r="D55" s="71"/>
      <c r="E55" s="261"/>
      <c r="F55" s="261"/>
      <c r="G55" s="261"/>
      <c r="H55" s="261"/>
      <c r="I55" s="261">
        <f>SUM(B55:F55)</f>
        <v>0</v>
      </c>
      <c r="J55" s="379">
        <v>162</v>
      </c>
      <c r="K55" s="261"/>
      <c r="L55" s="261">
        <v>97</v>
      </c>
      <c r="M55" s="261"/>
      <c r="N55" s="261"/>
      <c r="O55" s="269">
        <f t="shared" si="8"/>
        <v>259</v>
      </c>
    </row>
    <row r="56" spans="1:23">
      <c r="A56" s="71" t="s">
        <v>213</v>
      </c>
      <c r="B56" s="71"/>
      <c r="C56" s="71"/>
      <c r="D56" s="71"/>
      <c r="E56" s="261"/>
      <c r="F56" s="261"/>
      <c r="G56" s="261"/>
      <c r="H56" s="261"/>
      <c r="I56" s="261">
        <f>SUM(B56:H56)</f>
        <v>0</v>
      </c>
      <c r="J56" s="377">
        <v>69</v>
      </c>
      <c r="K56" s="377"/>
      <c r="L56" s="377"/>
      <c r="M56" s="377"/>
      <c r="N56" s="377"/>
      <c r="O56" s="269">
        <f t="shared" si="8"/>
        <v>69</v>
      </c>
    </row>
    <row r="57" spans="1:23">
      <c r="A57" s="58" t="s">
        <v>138</v>
      </c>
      <c r="B57" s="58"/>
      <c r="C57" s="58"/>
      <c r="D57" s="362">
        <v>2</v>
      </c>
      <c r="E57" s="363">
        <v>29</v>
      </c>
      <c r="F57" s="363">
        <v>45</v>
      </c>
      <c r="G57" s="364">
        <v>39</v>
      </c>
      <c r="H57" s="364">
        <v>38</v>
      </c>
      <c r="I57" s="348">
        <f>SUM(B57:H57)</f>
        <v>153</v>
      </c>
      <c r="J57" s="380">
        <v>35</v>
      </c>
      <c r="K57" s="380">
        <v>98</v>
      </c>
      <c r="L57" s="380">
        <v>34</v>
      </c>
      <c r="M57" s="380">
        <v>14</v>
      </c>
      <c r="N57" s="380"/>
      <c r="O57" s="269">
        <f t="shared" si="8"/>
        <v>334</v>
      </c>
    </row>
    <row r="58" spans="1:23">
      <c r="A58" s="60" t="s">
        <v>6</v>
      </c>
      <c r="B58" s="234">
        <f>SUM(B46:B57)</f>
        <v>0</v>
      </c>
      <c r="C58" s="234">
        <f t="shared" ref="C58:N58" si="13">SUM(C46:C57)</f>
        <v>0</v>
      </c>
      <c r="D58" s="234">
        <f t="shared" si="13"/>
        <v>7</v>
      </c>
      <c r="E58" s="234">
        <f t="shared" si="13"/>
        <v>60</v>
      </c>
      <c r="F58" s="234">
        <f t="shared" si="13"/>
        <v>140</v>
      </c>
      <c r="G58" s="234">
        <f t="shared" si="13"/>
        <v>119</v>
      </c>
      <c r="H58" s="234">
        <f t="shared" si="13"/>
        <v>136</v>
      </c>
      <c r="I58" s="234">
        <f t="shared" si="13"/>
        <v>462</v>
      </c>
      <c r="J58" s="234">
        <f t="shared" si="13"/>
        <v>287</v>
      </c>
      <c r="K58" s="234">
        <f t="shared" si="13"/>
        <v>200</v>
      </c>
      <c r="L58" s="234">
        <f t="shared" si="13"/>
        <v>144</v>
      </c>
      <c r="M58" s="234">
        <f t="shared" si="13"/>
        <v>16</v>
      </c>
      <c r="N58" s="234">
        <f t="shared" si="13"/>
        <v>0</v>
      </c>
      <c r="O58" s="372">
        <f t="shared" si="8"/>
        <v>1109</v>
      </c>
      <c r="P58" s="384">
        <f>26+48+23+18+56+38</f>
        <v>209</v>
      </c>
      <c r="Q58" s="302">
        <f>G58</f>
        <v>119</v>
      </c>
      <c r="R58" s="302"/>
      <c r="S58" s="302"/>
      <c r="T58" s="302"/>
      <c r="U58" s="306">
        <f>I58+I82</f>
        <v>1198</v>
      </c>
      <c r="V58" s="306">
        <f>I56+I57+I60</f>
        <v>524</v>
      </c>
    </row>
    <row r="59" spans="1:23">
      <c r="A59" s="258" t="s">
        <v>139</v>
      </c>
      <c r="B59" s="258"/>
      <c r="C59" s="258"/>
      <c r="D59" s="258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9">
        <f t="shared" si="8"/>
        <v>0</v>
      </c>
    </row>
    <row r="60" spans="1:23">
      <c r="A60" s="71" t="s">
        <v>214</v>
      </c>
      <c r="B60" s="71"/>
      <c r="C60" s="71"/>
      <c r="D60" s="226">
        <v>9</v>
      </c>
      <c r="E60" s="348">
        <v>75</v>
      </c>
      <c r="F60" s="348">
        <v>130</v>
      </c>
      <c r="G60" s="348">
        <v>82</v>
      </c>
      <c r="H60" s="348">
        <v>75</v>
      </c>
      <c r="I60" s="348">
        <f>SUM(B60:H60)</f>
        <v>371</v>
      </c>
      <c r="J60" s="377">
        <v>69</v>
      </c>
      <c r="K60" s="377"/>
      <c r="L60" s="377"/>
      <c r="M60" s="377"/>
      <c r="N60" s="377"/>
      <c r="O60" s="269">
        <f t="shared" si="8"/>
        <v>440</v>
      </c>
      <c r="U60" s="329" t="s">
        <v>166</v>
      </c>
      <c r="V60" s="330" t="s">
        <v>215</v>
      </c>
      <c r="W60" s="331"/>
    </row>
    <row r="61" spans="1:23" hidden="1">
      <c r="A61" s="71" t="s">
        <v>216</v>
      </c>
      <c r="B61" s="71"/>
      <c r="C61" s="71"/>
      <c r="D61" s="71"/>
      <c r="E61" s="261"/>
      <c r="F61" s="261"/>
      <c r="G61" s="261"/>
      <c r="H61" s="261"/>
      <c r="I61" s="261"/>
      <c r="J61" s="377"/>
      <c r="K61" s="377">
        <v>126</v>
      </c>
      <c r="L61" s="377">
        <v>48</v>
      </c>
      <c r="M61" s="377">
        <v>49</v>
      </c>
      <c r="N61" s="377"/>
      <c r="O61" s="269">
        <f t="shared" si="8"/>
        <v>223</v>
      </c>
      <c r="U61" s="332"/>
      <c r="V61" s="333"/>
      <c r="W61" s="334"/>
    </row>
    <row r="62" spans="1:23" hidden="1">
      <c r="A62" s="71" t="s">
        <v>217</v>
      </c>
      <c r="B62" s="71"/>
      <c r="C62" s="71"/>
      <c r="D62" s="71"/>
      <c r="E62" s="261"/>
      <c r="F62" s="261"/>
      <c r="G62" s="261"/>
      <c r="H62" s="261"/>
      <c r="I62" s="261"/>
      <c r="J62" s="261"/>
      <c r="K62" s="377"/>
      <c r="L62" s="261"/>
      <c r="M62" s="261"/>
      <c r="N62" s="261"/>
      <c r="O62" s="269">
        <f t="shared" si="8"/>
        <v>0</v>
      </c>
      <c r="P62" s="47" t="s">
        <v>218</v>
      </c>
      <c r="U62" s="332"/>
      <c r="V62" s="333"/>
      <c r="W62" s="334"/>
    </row>
    <row r="63" spans="1:23">
      <c r="A63" s="71" t="s">
        <v>219</v>
      </c>
      <c r="B63" s="71"/>
      <c r="C63" s="71"/>
      <c r="D63" s="71"/>
      <c r="E63" s="261"/>
      <c r="F63" s="261"/>
      <c r="G63" s="261"/>
      <c r="H63" s="261"/>
      <c r="I63" s="261">
        <f>SUM(B63:H63)</f>
        <v>0</v>
      </c>
      <c r="J63" s="377">
        <v>69</v>
      </c>
      <c r="K63" s="377"/>
      <c r="L63" s="377"/>
      <c r="M63" s="377"/>
      <c r="N63" s="377"/>
      <c r="O63" s="269">
        <f t="shared" si="8"/>
        <v>69</v>
      </c>
      <c r="U63" s="390">
        <f>I60+I63</f>
        <v>371</v>
      </c>
      <c r="V63" s="391">
        <f>I64+I66+I69+I76+I77+I79+I80</f>
        <v>264</v>
      </c>
      <c r="W63" s="392"/>
    </row>
    <row r="64" spans="1:23">
      <c r="A64" s="71" t="s">
        <v>220</v>
      </c>
      <c r="B64" s="71"/>
      <c r="C64" s="71"/>
      <c r="D64" s="71"/>
      <c r="E64" s="261"/>
      <c r="F64" s="348">
        <v>1</v>
      </c>
      <c r="G64" s="348">
        <v>19</v>
      </c>
      <c r="H64" s="261"/>
      <c r="I64" s="261">
        <f>SUM(B64:H65)</f>
        <v>20</v>
      </c>
      <c r="J64" s="261"/>
      <c r="K64" s="261"/>
      <c r="L64" s="261"/>
      <c r="M64" s="261"/>
      <c r="N64" s="261"/>
      <c r="O64" s="269">
        <f t="shared" si="8"/>
        <v>20</v>
      </c>
      <c r="U64" s="321"/>
    </row>
    <row r="65" spans="1:24" hidden="1">
      <c r="A65" s="71" t="s">
        <v>221</v>
      </c>
      <c r="B65" s="71"/>
      <c r="C65" s="71"/>
      <c r="D65" s="71"/>
      <c r="E65" s="261"/>
      <c r="F65" s="261"/>
      <c r="G65" s="261"/>
      <c r="H65" s="261"/>
      <c r="I65" s="261">
        <f>SUM(B65:G65)</f>
        <v>0</v>
      </c>
      <c r="J65" s="377">
        <v>128</v>
      </c>
      <c r="K65" s="377">
        <v>122</v>
      </c>
      <c r="L65" s="377">
        <v>11</v>
      </c>
      <c r="M65" s="261">
        <v>7</v>
      </c>
      <c r="N65" s="377"/>
      <c r="O65" s="269">
        <f t="shared" si="8"/>
        <v>268</v>
      </c>
      <c r="U65" s="306"/>
      <c r="X65" s="47">
        <f>2498+60</f>
        <v>2558</v>
      </c>
    </row>
    <row r="66" spans="1:24">
      <c r="A66" s="71" t="s">
        <v>222</v>
      </c>
      <c r="B66" s="71"/>
      <c r="C66" s="71"/>
      <c r="D66" s="71"/>
      <c r="E66" s="261"/>
      <c r="F66" s="261"/>
      <c r="G66" s="261"/>
      <c r="H66" s="261"/>
      <c r="I66" s="261">
        <f>SUM(B66:H66)</f>
        <v>0</v>
      </c>
      <c r="J66" s="377"/>
      <c r="K66" s="377"/>
      <c r="L66" s="377"/>
      <c r="M66" s="261"/>
      <c r="N66" s="261"/>
      <c r="O66" s="269">
        <f t="shared" si="8"/>
        <v>0</v>
      </c>
    </row>
    <row r="67" spans="1:24" hidden="1">
      <c r="A67" s="71" t="s">
        <v>223</v>
      </c>
      <c r="B67" s="71"/>
      <c r="C67" s="71"/>
      <c r="D67" s="71"/>
      <c r="E67" s="261"/>
      <c r="F67" s="261"/>
      <c r="G67" s="261"/>
      <c r="H67" s="261"/>
      <c r="I67" s="261">
        <f t="shared" ref="I67:I75" si="14">SUM(B67:F67)</f>
        <v>0</v>
      </c>
      <c r="J67" s="261"/>
      <c r="K67" s="377"/>
      <c r="L67" s="377"/>
      <c r="M67" s="261"/>
      <c r="N67" s="261"/>
      <c r="O67" s="269">
        <f t="shared" si="8"/>
        <v>0</v>
      </c>
      <c r="P67" s="47" t="s">
        <v>218</v>
      </c>
    </row>
    <row r="68" spans="1:24">
      <c r="A68" s="71" t="s">
        <v>224</v>
      </c>
      <c r="B68" s="71"/>
      <c r="C68" s="71"/>
      <c r="D68" s="71"/>
      <c r="E68" s="348">
        <v>1</v>
      </c>
      <c r="F68" s="348">
        <v>3</v>
      </c>
      <c r="G68" s="348">
        <v>42</v>
      </c>
      <c r="H68" s="348">
        <v>55</v>
      </c>
      <c r="I68" s="348">
        <f>SUM(B68:H68)</f>
        <v>101</v>
      </c>
      <c r="J68" s="377"/>
      <c r="K68" s="377"/>
      <c r="L68" s="377"/>
      <c r="M68" s="261"/>
      <c r="N68" s="261"/>
      <c r="O68" s="269">
        <f t="shared" ref="O68" si="15">SUM(I68:N68)</f>
        <v>101</v>
      </c>
    </row>
    <row r="69" spans="1:24">
      <c r="A69" s="71" t="s">
        <v>225</v>
      </c>
      <c r="B69" s="71"/>
      <c r="C69" s="71"/>
      <c r="D69" s="71"/>
      <c r="E69" s="348">
        <v>3</v>
      </c>
      <c r="F69" s="348">
        <v>14</v>
      </c>
      <c r="G69" s="348">
        <v>53</v>
      </c>
      <c r="H69" s="348">
        <v>35</v>
      </c>
      <c r="I69" s="348">
        <f>SUM(B69:H69)</f>
        <v>105</v>
      </c>
      <c r="J69" s="377"/>
      <c r="K69" s="377"/>
      <c r="L69" s="261"/>
      <c r="M69" s="377"/>
      <c r="N69" s="261"/>
      <c r="O69" s="269">
        <f t="shared" si="8"/>
        <v>105</v>
      </c>
    </row>
    <row r="70" spans="1:24" hidden="1">
      <c r="A70" s="71" t="s">
        <v>226</v>
      </c>
      <c r="B70" s="71"/>
      <c r="C70" s="71"/>
      <c r="D70" s="71"/>
      <c r="E70" s="261"/>
      <c r="F70" s="261"/>
      <c r="G70" s="261"/>
      <c r="H70" s="261"/>
      <c r="I70" s="261">
        <f t="shared" si="14"/>
        <v>0</v>
      </c>
      <c r="J70" s="377"/>
      <c r="K70" s="261"/>
      <c r="L70" s="261"/>
      <c r="M70" s="261"/>
      <c r="N70" s="261"/>
      <c r="O70" s="269">
        <f t="shared" si="8"/>
        <v>0</v>
      </c>
    </row>
    <row r="71" spans="1:24" hidden="1">
      <c r="A71" s="71" t="s">
        <v>227</v>
      </c>
      <c r="B71" s="71"/>
      <c r="C71" s="71"/>
      <c r="D71" s="71"/>
      <c r="E71" s="261"/>
      <c r="F71" s="261"/>
      <c r="G71" s="261"/>
      <c r="H71" s="261"/>
      <c r="I71" s="261">
        <f t="shared" si="14"/>
        <v>0</v>
      </c>
      <c r="J71" s="377"/>
      <c r="K71" s="261"/>
      <c r="L71" s="261"/>
      <c r="M71" s="261"/>
      <c r="N71" s="261"/>
      <c r="O71" s="269">
        <f t="shared" si="8"/>
        <v>0</v>
      </c>
    </row>
    <row r="72" spans="1:24" hidden="1">
      <c r="A72" s="71" t="s">
        <v>143</v>
      </c>
      <c r="B72" s="71"/>
      <c r="C72" s="71"/>
      <c r="D72" s="71"/>
      <c r="E72" s="261"/>
      <c r="F72" s="261"/>
      <c r="G72" s="261"/>
      <c r="H72" s="261"/>
      <c r="I72" s="261">
        <f t="shared" si="14"/>
        <v>0</v>
      </c>
      <c r="J72" s="261"/>
      <c r="K72" s="261"/>
      <c r="L72" s="261"/>
      <c r="M72" s="261"/>
      <c r="N72" s="261"/>
      <c r="O72" s="269">
        <f t="shared" si="8"/>
        <v>0</v>
      </c>
    </row>
    <row r="73" spans="1:24" hidden="1">
      <c r="A73" s="71" t="s">
        <v>144</v>
      </c>
      <c r="B73" s="71"/>
      <c r="C73" s="71"/>
      <c r="D73" s="71"/>
      <c r="E73" s="261"/>
      <c r="F73" s="261"/>
      <c r="G73" s="261"/>
      <c r="H73" s="261"/>
      <c r="I73" s="261">
        <f t="shared" si="14"/>
        <v>0</v>
      </c>
      <c r="J73" s="261"/>
      <c r="K73" s="261"/>
      <c r="L73" s="261"/>
      <c r="M73" s="261"/>
      <c r="N73" s="261"/>
      <c r="O73" s="269">
        <f t="shared" si="8"/>
        <v>0</v>
      </c>
    </row>
    <row r="74" spans="1:24" hidden="1">
      <c r="A74" s="71" t="s">
        <v>145</v>
      </c>
      <c r="B74" s="71"/>
      <c r="C74" s="71"/>
      <c r="D74" s="71"/>
      <c r="E74" s="261"/>
      <c r="F74" s="261"/>
      <c r="G74" s="261"/>
      <c r="H74" s="261"/>
      <c r="I74" s="261">
        <f t="shared" si="14"/>
        <v>0</v>
      </c>
      <c r="J74" s="261"/>
      <c r="K74" s="377">
        <v>26</v>
      </c>
      <c r="L74" s="377">
        <v>1</v>
      </c>
      <c r="M74" s="261"/>
      <c r="N74" s="261"/>
      <c r="O74" s="269">
        <f t="shared" si="8"/>
        <v>27</v>
      </c>
    </row>
    <row r="75" spans="1:24" hidden="1">
      <c r="A75" s="71" t="s">
        <v>147</v>
      </c>
      <c r="B75" s="71"/>
      <c r="C75" s="71"/>
      <c r="D75" s="71"/>
      <c r="E75" s="261"/>
      <c r="F75" s="261"/>
      <c r="G75" s="261"/>
      <c r="H75" s="261"/>
      <c r="I75" s="261">
        <f t="shared" si="14"/>
        <v>0</v>
      </c>
      <c r="J75" s="261">
        <v>85</v>
      </c>
      <c r="K75" s="261">
        <v>66</v>
      </c>
      <c r="L75" s="377">
        <v>14</v>
      </c>
      <c r="M75" s="261">
        <v>7</v>
      </c>
      <c r="N75" s="261"/>
      <c r="O75" s="269">
        <f t="shared" si="8"/>
        <v>172</v>
      </c>
    </row>
    <row r="76" spans="1:24" hidden="1">
      <c r="A76" s="71" t="s">
        <v>225</v>
      </c>
      <c r="B76" s="71"/>
      <c r="C76" s="71"/>
      <c r="D76" s="71"/>
      <c r="E76" s="261"/>
      <c r="F76" s="261"/>
      <c r="G76" s="261"/>
      <c r="H76" s="261"/>
      <c r="I76" s="261">
        <f>SUM(B76:G76)</f>
        <v>0</v>
      </c>
      <c r="J76" s="377"/>
      <c r="K76" s="377"/>
      <c r="L76" s="261"/>
      <c r="M76" s="377"/>
      <c r="N76" s="261"/>
      <c r="O76" s="269">
        <f t="shared" si="8"/>
        <v>0</v>
      </c>
    </row>
    <row r="77" spans="1:24" hidden="1">
      <c r="A77" s="71" t="s">
        <v>220</v>
      </c>
      <c r="B77" s="71"/>
      <c r="C77" s="71"/>
      <c r="D77" s="71"/>
      <c r="E77" s="261"/>
      <c r="F77" s="261"/>
      <c r="G77" s="261"/>
      <c r="H77" s="261"/>
      <c r="I77" s="261">
        <f>SUM(B77:G77)</f>
        <v>0</v>
      </c>
      <c r="J77" s="261"/>
      <c r="K77" s="261"/>
      <c r="L77" s="261"/>
      <c r="M77" s="261"/>
      <c r="N77" s="261"/>
      <c r="O77" s="269">
        <f t="shared" si="8"/>
        <v>0</v>
      </c>
    </row>
    <row r="78" spans="1:24">
      <c r="A78" s="71" t="s">
        <v>228</v>
      </c>
      <c r="B78" s="71"/>
      <c r="C78" s="71"/>
      <c r="D78" s="71"/>
      <c r="E78" s="261"/>
      <c r="F78" s="261"/>
      <c r="G78" s="261"/>
      <c r="H78" s="261"/>
      <c r="I78" s="261">
        <f>SUM(B78:H78)</f>
        <v>0</v>
      </c>
      <c r="J78" s="377">
        <v>170</v>
      </c>
      <c r="K78" s="377">
        <v>102</v>
      </c>
      <c r="L78" s="377">
        <v>9</v>
      </c>
      <c r="M78" s="261">
        <v>5</v>
      </c>
      <c r="N78" s="261"/>
      <c r="O78" s="269">
        <f t="shared" si="8"/>
        <v>286</v>
      </c>
      <c r="U78" s="306">
        <f>I65</f>
        <v>0</v>
      </c>
      <c r="V78" s="306">
        <f>I59</f>
        <v>0</v>
      </c>
    </row>
    <row r="79" spans="1:24">
      <c r="A79" s="71" t="s">
        <v>229</v>
      </c>
      <c r="B79" s="71"/>
      <c r="C79" s="71"/>
      <c r="D79" s="226">
        <v>1</v>
      </c>
      <c r="E79" s="348"/>
      <c r="F79" s="348">
        <v>9</v>
      </c>
      <c r="G79" s="348">
        <v>69</v>
      </c>
      <c r="H79" s="348">
        <f>40+20</f>
        <v>60</v>
      </c>
      <c r="I79" s="348">
        <f>SUM(B79:H79)</f>
        <v>139</v>
      </c>
      <c r="J79" s="377">
        <v>170</v>
      </c>
      <c r="K79" s="377">
        <v>102</v>
      </c>
      <c r="L79" s="377">
        <v>9</v>
      </c>
      <c r="M79" s="261">
        <v>5</v>
      </c>
      <c r="N79" s="261"/>
      <c r="O79" s="269">
        <f t="shared" si="8"/>
        <v>425</v>
      </c>
      <c r="U79" s="306">
        <f>I66</f>
        <v>0</v>
      </c>
      <c r="V79" s="306">
        <f>I60</f>
        <v>371</v>
      </c>
    </row>
    <row r="80" spans="1:24" hidden="1">
      <c r="A80" s="71" t="s">
        <v>230</v>
      </c>
      <c r="B80" s="71"/>
      <c r="C80" s="71"/>
      <c r="D80" s="71"/>
      <c r="E80" s="261"/>
      <c r="F80" s="261"/>
      <c r="G80" s="261"/>
      <c r="H80" s="261"/>
      <c r="I80" s="261">
        <f>SUM(B80:G80)</f>
        <v>0</v>
      </c>
      <c r="J80" s="261"/>
      <c r="K80" s="261"/>
      <c r="L80" s="261"/>
      <c r="M80" s="261"/>
      <c r="N80" s="261"/>
      <c r="O80" s="269">
        <f t="shared" si="8"/>
        <v>0</v>
      </c>
    </row>
    <row r="81" spans="1:23" hidden="1">
      <c r="A81" s="58" t="s">
        <v>156</v>
      </c>
      <c r="B81" s="69"/>
      <c r="C81" s="69"/>
      <c r="D81" s="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>
        <f t="shared" si="8"/>
        <v>0</v>
      </c>
    </row>
    <row r="82" spans="1:23">
      <c r="A82" s="60" t="s">
        <v>6</v>
      </c>
      <c r="B82" s="234">
        <f>SUM(B60:B81)</f>
        <v>0</v>
      </c>
      <c r="C82" s="234">
        <f>SUM(C60:C81)</f>
        <v>0</v>
      </c>
      <c r="D82" s="234">
        <f>SUM(D60:D81)</f>
        <v>10</v>
      </c>
      <c r="E82" s="234">
        <f>SUM(E60:E81)</f>
        <v>79</v>
      </c>
      <c r="F82" s="234">
        <f>SUM(F60:F81)</f>
        <v>157</v>
      </c>
      <c r="G82" s="234">
        <f t="shared" ref="G82:N82" si="16">SUM(G60:G81)</f>
        <v>265</v>
      </c>
      <c r="H82" s="234">
        <f t="shared" si="16"/>
        <v>225</v>
      </c>
      <c r="I82" s="234">
        <f t="shared" si="16"/>
        <v>736</v>
      </c>
      <c r="J82" s="234">
        <f t="shared" si="16"/>
        <v>691</v>
      </c>
      <c r="K82" s="234">
        <f t="shared" si="16"/>
        <v>544</v>
      </c>
      <c r="L82" s="234">
        <f t="shared" si="16"/>
        <v>92</v>
      </c>
      <c r="M82" s="234">
        <f t="shared" si="16"/>
        <v>73</v>
      </c>
      <c r="N82" s="234">
        <f t="shared" si="16"/>
        <v>0</v>
      </c>
      <c r="O82" s="234">
        <f t="shared" si="8"/>
        <v>2136</v>
      </c>
      <c r="Q82" s="302">
        <f>G82</f>
        <v>265</v>
      </c>
      <c r="R82" s="302"/>
      <c r="S82" s="302"/>
      <c r="U82" s="306">
        <f>I82-(U79+V79)</f>
        <v>365</v>
      </c>
      <c r="V82" s="306">
        <f>I60</f>
        <v>371</v>
      </c>
    </row>
    <row r="83" spans="1:23">
      <c r="A83" s="234" t="s">
        <v>159</v>
      </c>
      <c r="B83" s="315">
        <f>SUM(B20,B36,B44,B58,B82,B40)</f>
        <v>0</v>
      </c>
      <c r="C83" s="315">
        <f t="shared" ref="C83:I83" si="17">SUM(C20,C36,C44,C58,C82,C40)</f>
        <v>0</v>
      </c>
      <c r="D83" s="315">
        <f t="shared" si="17"/>
        <v>67</v>
      </c>
      <c r="E83" s="315">
        <f t="shared" si="17"/>
        <v>504</v>
      </c>
      <c r="F83" s="315">
        <f t="shared" si="17"/>
        <v>347</v>
      </c>
      <c r="G83" s="315">
        <f t="shared" si="17"/>
        <v>490</v>
      </c>
      <c r="H83" s="315">
        <f t="shared" si="17"/>
        <v>444</v>
      </c>
      <c r="I83" s="315">
        <f t="shared" si="17"/>
        <v>1852</v>
      </c>
      <c r="J83" s="315">
        <f t="shared" ref="J83:O83" si="18">SUM(J20,J36,J44,J58,J82)</f>
        <v>1490</v>
      </c>
      <c r="K83" s="315">
        <f t="shared" si="18"/>
        <v>1336</v>
      </c>
      <c r="L83" s="315">
        <f t="shared" si="18"/>
        <v>294</v>
      </c>
      <c r="M83" s="315">
        <f t="shared" si="18"/>
        <v>170</v>
      </c>
      <c r="N83" s="315">
        <f t="shared" si="18"/>
        <v>0</v>
      </c>
      <c r="O83" s="315">
        <f t="shared" si="18"/>
        <v>5082</v>
      </c>
      <c r="P83" s="47">
        <v>3678</v>
      </c>
      <c r="Q83" s="393">
        <f>SUM(Q6:Q82)</f>
        <v>490</v>
      </c>
      <c r="R83" s="327"/>
      <c r="S83" s="327"/>
      <c r="V83" s="306">
        <f>E83+11+5</f>
        <v>520</v>
      </c>
      <c r="W83" s="306">
        <f>I83+16</f>
        <v>1868</v>
      </c>
    </row>
    <row r="84" spans="1:23">
      <c r="I84" s="48">
        <v>2058</v>
      </c>
      <c r="Q84" s="47">
        <f>3554-329</f>
        <v>3225</v>
      </c>
    </row>
    <row r="85" spans="1:23">
      <c r="A85" s="690" t="s">
        <v>161</v>
      </c>
      <c r="F85" s="316">
        <f>F83+บัณฑิตศึกษา!F41</f>
        <v>468</v>
      </c>
      <c r="G85" s="316"/>
      <c r="H85" s="316"/>
      <c r="I85" s="301">
        <f>I83+บัณฑิตศึกษา!I41</f>
        <v>2892</v>
      </c>
      <c r="O85" s="306">
        <v>28</v>
      </c>
    </row>
    <row r="86" spans="1:23">
      <c r="A86" s="317" t="s">
        <v>162</v>
      </c>
      <c r="F86" s="306">
        <f>B83+E83+F83</f>
        <v>851</v>
      </c>
      <c r="I86" s="306">
        <f>I83-I84</f>
        <v>-206</v>
      </c>
    </row>
    <row r="87" spans="1:23">
      <c r="A87" s="317"/>
      <c r="I87" s="306">
        <f>I83+บัณฑิตศึกษา!I41</f>
        <v>2892</v>
      </c>
    </row>
    <row r="88" spans="1:23">
      <c r="A88" s="319"/>
    </row>
    <row r="89" spans="1:23">
      <c r="A89" s="320" t="s">
        <v>165</v>
      </c>
      <c r="B89" s="306">
        <f>F20</f>
        <v>0</v>
      </c>
      <c r="I89" s="47">
        <v>1436</v>
      </c>
      <c r="U89" s="47">
        <f>3606+153</f>
        <v>3759</v>
      </c>
    </row>
    <row r="90" spans="1:23">
      <c r="A90" s="320" t="s">
        <v>166</v>
      </c>
      <c r="B90" s="306">
        <f>(F36+F58+F82)-B91</f>
        <v>323</v>
      </c>
    </row>
    <row r="91" spans="1:23">
      <c r="A91" s="320" t="s">
        <v>167</v>
      </c>
      <c r="B91" s="47">
        <f>U64</f>
        <v>0</v>
      </c>
      <c r="U91" s="306">
        <f>I83-U89</f>
        <v>-1907</v>
      </c>
    </row>
    <row r="92" spans="1:23">
      <c r="A92" s="320" t="s">
        <v>231</v>
      </c>
      <c r="B92" s="47">
        <v>0</v>
      </c>
      <c r="I92" s="306">
        <f>I83-67</f>
        <v>1785</v>
      </c>
    </row>
    <row r="93" spans="1:23">
      <c r="A93" s="320" t="s">
        <v>168</v>
      </c>
      <c r="B93" s="47">
        <f>บัณฑิตศึกษา!F44</f>
        <v>0</v>
      </c>
    </row>
    <row r="94" spans="1:23">
      <c r="A94" s="320" t="s">
        <v>169</v>
      </c>
      <c r="B94" s="47">
        <f>บัณฑิตศึกษา!F45</f>
        <v>0</v>
      </c>
    </row>
    <row r="95" spans="1:23">
      <c r="B95" s="306">
        <f>SUM(B89:B94)</f>
        <v>323</v>
      </c>
    </row>
    <row r="96" spans="1:23">
      <c r="A96" s="321"/>
      <c r="B96" s="321"/>
      <c r="C96" s="321"/>
    </row>
    <row r="99" spans="1:4">
      <c r="B99" s="47" t="s">
        <v>164</v>
      </c>
      <c r="C99" s="47" t="s">
        <v>163</v>
      </c>
    </row>
    <row r="100" spans="1:4">
      <c r="A100" s="320" t="s">
        <v>232</v>
      </c>
    </row>
    <row r="101" spans="1:4">
      <c r="A101" s="320" t="s">
        <v>23</v>
      </c>
    </row>
    <row r="102" spans="1:4">
      <c r="A102" s="320" t="s">
        <v>233</v>
      </c>
      <c r="B102" s="306">
        <f>Q44+Q40+Q36</f>
        <v>106</v>
      </c>
      <c r="C102" s="306">
        <f>Q82+Q58</f>
        <v>384</v>
      </c>
      <c r="D102" s="306">
        <f>SUM(B102:C102)</f>
        <v>490</v>
      </c>
    </row>
    <row r="103" spans="1:4">
      <c r="A103" s="320" t="s">
        <v>234</v>
      </c>
    </row>
    <row r="104" spans="1:4">
      <c r="A104" s="320" t="s">
        <v>44</v>
      </c>
    </row>
    <row r="105" spans="1:4">
      <c r="A105" s="320" t="s">
        <v>6</v>
      </c>
    </row>
  </sheetData>
  <mergeCells count="10">
    <mergeCell ref="A1:P1"/>
    <mergeCell ref="B2:H2"/>
    <mergeCell ref="Q6:W6"/>
    <mergeCell ref="R8:V8"/>
    <mergeCell ref="R23:T23"/>
    <mergeCell ref="A3:A4"/>
    <mergeCell ref="I2:I3"/>
    <mergeCell ref="O3:O4"/>
    <mergeCell ref="Q8:Q9"/>
    <mergeCell ref="W8:W9"/>
  </mergeCells>
  <printOptions horizontalCentered="1"/>
  <pageMargins left="0.62992125984252001" right="0.59055118110236204" top="0.196850393700787" bottom="0" header="0.55118110236220497" footer="0.31496062992126"/>
  <pageSetup paperSize="9" scale="92" orientation="portrait" r:id="rId1"/>
  <headerFooter alignWithMargins="0">
    <oddFooter>&amp;Cหน้าที่ &amp;P จาก &amp;N</oddFooter>
  </headerFooter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view="pageBreakPreview" zoomScale="120" zoomScaleNormal="100" workbookViewId="0">
      <pane xSplit="1" ySplit="4" topLeftCell="B5" activePane="bottomRight" state="frozen"/>
      <selection pane="topRight"/>
      <selection pane="bottomLeft"/>
      <selection pane="bottomRight" activeCell="H101" sqref="H101"/>
    </sheetView>
  </sheetViews>
  <sheetFormatPr defaultColWidth="9.140625" defaultRowHeight="12.75"/>
  <cols>
    <col min="1" max="1" width="37.140625" style="143" customWidth="1"/>
    <col min="2" max="2" width="6.85546875" style="143" customWidth="1"/>
    <col min="3" max="3" width="7" style="143" customWidth="1"/>
    <col min="4" max="4" width="7.28515625" style="143" customWidth="1"/>
    <col min="5" max="5" width="7.140625" style="143" customWidth="1"/>
    <col min="6" max="6" width="7.28515625" style="143" customWidth="1"/>
    <col min="7" max="8" width="7.7109375" style="143" customWidth="1"/>
    <col min="9" max="9" width="8.42578125" style="143" customWidth="1"/>
    <col min="10" max="15" width="9" style="143" hidden="1" customWidth="1"/>
    <col min="16" max="16" width="8.5703125" style="143" hidden="1" customWidth="1"/>
    <col min="17" max="17" width="26.42578125" style="143" customWidth="1"/>
    <col min="18" max="20" width="8.5703125" style="143" customWidth="1"/>
    <col min="21" max="16384" width="9.140625" style="143"/>
  </cols>
  <sheetData>
    <row r="1" spans="1:25" ht="15.75">
      <c r="A1" s="818" t="s">
        <v>173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20"/>
      <c r="Q1" s="645"/>
      <c r="R1" s="645"/>
      <c r="S1" s="645"/>
      <c r="T1" s="645"/>
    </row>
    <row r="2" spans="1:25">
      <c r="B2" s="821" t="s">
        <v>32</v>
      </c>
      <c r="C2" s="821"/>
      <c r="D2" s="821"/>
      <c r="E2" s="821"/>
      <c r="F2" s="821"/>
      <c r="G2" s="821"/>
      <c r="H2" s="822"/>
      <c r="I2" s="830" t="s">
        <v>6</v>
      </c>
    </row>
    <row r="3" spans="1:25">
      <c r="A3" s="828" t="s">
        <v>31</v>
      </c>
      <c r="B3" s="594">
        <v>2551</v>
      </c>
      <c r="C3" s="594">
        <v>2552</v>
      </c>
      <c r="D3" s="594">
        <v>2553</v>
      </c>
      <c r="E3" s="767" t="s">
        <v>36</v>
      </c>
      <c r="F3" s="767" t="s">
        <v>35</v>
      </c>
      <c r="G3" s="767" t="s">
        <v>34</v>
      </c>
      <c r="H3" s="767" t="s">
        <v>33</v>
      </c>
      <c r="I3" s="831"/>
      <c r="J3" s="768" t="s">
        <v>160</v>
      </c>
      <c r="K3" s="769" t="s">
        <v>174</v>
      </c>
      <c r="L3" s="769" t="s">
        <v>175</v>
      </c>
      <c r="M3" s="769" t="s">
        <v>176</v>
      </c>
      <c r="N3" s="769" t="s">
        <v>177</v>
      </c>
      <c r="O3" s="828" t="s">
        <v>6</v>
      </c>
    </row>
    <row r="4" spans="1:25" ht="12.75" hidden="1" customHeight="1">
      <c r="A4" s="829"/>
      <c r="B4" s="160"/>
      <c r="C4" s="160"/>
      <c r="D4" s="160"/>
      <c r="E4" s="595" t="s">
        <v>178</v>
      </c>
      <c r="F4" s="595" t="s">
        <v>178</v>
      </c>
      <c r="G4" s="595"/>
      <c r="H4" s="595"/>
      <c r="I4" s="595" t="s">
        <v>178</v>
      </c>
      <c r="J4" s="620" t="s">
        <v>178</v>
      </c>
      <c r="K4" s="620"/>
      <c r="L4" s="620"/>
      <c r="M4" s="620"/>
      <c r="N4" s="620" t="s">
        <v>179</v>
      </c>
      <c r="O4" s="832"/>
    </row>
    <row r="5" spans="1:25">
      <c r="A5" s="596" t="s">
        <v>40</v>
      </c>
      <c r="B5" s="596"/>
      <c r="C5" s="596"/>
      <c r="D5" s="596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621"/>
      <c r="Q5" s="646"/>
      <c r="R5" s="647"/>
      <c r="S5" s="647"/>
      <c r="T5" s="647"/>
      <c r="U5" s="647"/>
      <c r="V5" s="647"/>
      <c r="W5" s="647"/>
    </row>
    <row r="6" spans="1:25" s="593" customFormat="1">
      <c r="A6" s="168" t="s">
        <v>180</v>
      </c>
      <c r="B6" s="168">
        <f>1+2</f>
        <v>3</v>
      </c>
      <c r="C6" s="168">
        <v>1</v>
      </c>
      <c r="D6" s="168">
        <f>40+22</f>
        <v>62</v>
      </c>
      <c r="E6" s="598">
        <f>45+44</f>
        <v>89</v>
      </c>
      <c r="F6" s="598"/>
      <c r="G6" s="598"/>
      <c r="H6" s="598"/>
      <c r="I6" s="598">
        <f>SUM(B6:H6)</f>
        <v>155</v>
      </c>
      <c r="J6" s="622">
        <v>52</v>
      </c>
      <c r="K6" s="622">
        <v>64</v>
      </c>
      <c r="L6" s="622">
        <v>20</v>
      </c>
      <c r="M6" s="622">
        <v>54</v>
      </c>
      <c r="N6" s="622"/>
      <c r="O6" s="623">
        <f t="shared" ref="O6:O20" si="0">SUM(I6:N6)</f>
        <v>345</v>
      </c>
      <c r="P6" s="593" t="s">
        <v>165</v>
      </c>
      <c r="Q6" s="823" t="s">
        <v>30</v>
      </c>
      <c r="R6" s="823"/>
      <c r="S6" s="823"/>
      <c r="T6" s="823"/>
      <c r="U6" s="823"/>
      <c r="V6" s="823"/>
      <c r="W6" s="823"/>
    </row>
    <row r="7" spans="1:25" s="593" customFormat="1">
      <c r="A7" s="170" t="s">
        <v>181</v>
      </c>
      <c r="B7" s="170"/>
      <c r="C7" s="170">
        <v>3</v>
      </c>
      <c r="D7" s="170">
        <f>34+18</f>
        <v>52</v>
      </c>
      <c r="E7" s="599">
        <v>30</v>
      </c>
      <c r="F7" s="599"/>
      <c r="G7" s="599"/>
      <c r="H7" s="599"/>
      <c r="I7" s="599">
        <f>SUM(B7:H7)</f>
        <v>85</v>
      </c>
      <c r="J7" s="624">
        <v>17</v>
      </c>
      <c r="K7" s="625"/>
      <c r="L7" s="625"/>
      <c r="M7" s="625"/>
      <c r="N7" s="625"/>
      <c r="O7" s="623">
        <f t="shared" si="0"/>
        <v>102</v>
      </c>
      <c r="P7" s="593" t="s">
        <v>165</v>
      </c>
      <c r="Q7" s="646"/>
      <c r="R7" s="647"/>
      <c r="S7" s="647"/>
      <c r="T7" s="647"/>
      <c r="U7" s="647"/>
      <c r="V7" s="647"/>
      <c r="W7" s="647"/>
    </row>
    <row r="8" spans="1:25" s="593" customFormat="1">
      <c r="A8" s="170" t="s">
        <v>182</v>
      </c>
      <c r="B8" s="170"/>
      <c r="C8" s="170">
        <v>3</v>
      </c>
      <c r="D8" s="170">
        <v>44</v>
      </c>
      <c r="E8" s="599">
        <f>36+37</f>
        <v>73</v>
      </c>
      <c r="F8" s="599"/>
      <c r="G8" s="599"/>
      <c r="H8" s="599"/>
      <c r="I8" s="599">
        <f t="shared" ref="I8:I14" si="1">SUM(B8:H8)</f>
        <v>120</v>
      </c>
      <c r="J8" s="624">
        <v>27</v>
      </c>
      <c r="K8" s="625"/>
      <c r="L8" s="625"/>
      <c r="M8" s="625"/>
      <c r="N8" s="625"/>
      <c r="O8" s="623">
        <f t="shared" si="0"/>
        <v>147</v>
      </c>
      <c r="P8" s="593" t="s">
        <v>165</v>
      </c>
      <c r="Q8" s="833" t="s">
        <v>38</v>
      </c>
      <c r="R8" s="824" t="s">
        <v>39</v>
      </c>
      <c r="S8" s="824"/>
      <c r="T8" s="824"/>
      <c r="U8" s="824"/>
      <c r="V8" s="824"/>
      <c r="W8" s="835" t="s">
        <v>6</v>
      </c>
    </row>
    <row r="9" spans="1:25" s="593" customFormat="1">
      <c r="A9" s="170" t="s">
        <v>183</v>
      </c>
      <c r="B9" s="170"/>
      <c r="C9" s="170">
        <v>4</v>
      </c>
      <c r="D9" s="170">
        <v>23</v>
      </c>
      <c r="E9" s="599">
        <v>29</v>
      </c>
      <c r="F9" s="599"/>
      <c r="G9" s="599"/>
      <c r="H9" s="599"/>
      <c r="I9" s="599">
        <f t="shared" si="1"/>
        <v>56</v>
      </c>
      <c r="J9" s="625">
        <v>19</v>
      </c>
      <c r="K9" s="625"/>
      <c r="L9" s="625"/>
      <c r="M9" s="625"/>
      <c r="N9" s="625"/>
      <c r="O9" s="623">
        <f t="shared" si="0"/>
        <v>75</v>
      </c>
      <c r="P9" s="593" t="s">
        <v>167</v>
      </c>
      <c r="Q9" s="834"/>
      <c r="R9" s="649" t="s">
        <v>41</v>
      </c>
      <c r="S9" s="648" t="s">
        <v>42</v>
      </c>
      <c r="T9" s="648" t="s">
        <v>43</v>
      </c>
      <c r="U9" s="648" t="s">
        <v>25</v>
      </c>
      <c r="V9" s="648" t="s">
        <v>44</v>
      </c>
      <c r="W9" s="836"/>
    </row>
    <row r="10" spans="1:25" s="593" customFormat="1">
      <c r="A10" s="170" t="s">
        <v>184</v>
      </c>
      <c r="B10" s="170"/>
      <c r="C10" s="170"/>
      <c r="D10" s="170">
        <v>13</v>
      </c>
      <c r="E10" s="599">
        <v>27</v>
      </c>
      <c r="F10" s="599"/>
      <c r="G10" s="599"/>
      <c r="H10" s="599"/>
      <c r="I10" s="599">
        <f t="shared" si="1"/>
        <v>40</v>
      </c>
      <c r="J10" s="625"/>
      <c r="K10" s="625"/>
      <c r="L10" s="625"/>
      <c r="M10" s="625"/>
      <c r="N10" s="625"/>
      <c r="O10" s="623">
        <f t="shared" si="0"/>
        <v>40</v>
      </c>
      <c r="P10" s="593" t="s">
        <v>167</v>
      </c>
      <c r="Q10" s="650" t="s">
        <v>46</v>
      </c>
      <c r="R10" s="651">
        <f>I19</f>
        <v>67</v>
      </c>
      <c r="S10" s="651"/>
      <c r="T10" s="651">
        <f>I20-I19</f>
        <v>682</v>
      </c>
      <c r="U10" s="651">
        <f>214+160+133+81+39</f>
        <v>627</v>
      </c>
      <c r="V10" s="651">
        <f>19+13+8+7+12+16+15+9+5+18+12+13+22</f>
        <v>169</v>
      </c>
      <c r="W10" s="651">
        <f t="shared" ref="W10:W20" si="2">SUM(R10:V10)</f>
        <v>1545</v>
      </c>
    </row>
    <row r="11" spans="1:25" s="593" customFormat="1">
      <c r="A11" s="170" t="s">
        <v>185</v>
      </c>
      <c r="B11" s="170"/>
      <c r="C11" s="170"/>
      <c r="D11" s="170">
        <v>17</v>
      </c>
      <c r="E11" s="599">
        <f>34+34</f>
        <v>68</v>
      </c>
      <c r="F11" s="599"/>
      <c r="G11" s="599"/>
      <c r="H11" s="599"/>
      <c r="I11" s="599">
        <f t="shared" si="1"/>
        <v>85</v>
      </c>
      <c r="J11" s="625"/>
      <c r="K11" s="625"/>
      <c r="L11" s="625"/>
      <c r="M11" s="625"/>
      <c r="N11" s="625"/>
      <c r="O11" s="623">
        <f t="shared" si="0"/>
        <v>85</v>
      </c>
      <c r="Q11" s="650" t="s">
        <v>48</v>
      </c>
      <c r="R11" s="651"/>
      <c r="S11" s="651">
        <f>I58</f>
        <v>404</v>
      </c>
      <c r="T11" s="651"/>
      <c r="U11" s="651">
        <v>45</v>
      </c>
      <c r="V11" s="651"/>
      <c r="W11" s="651">
        <f t="shared" si="2"/>
        <v>449</v>
      </c>
    </row>
    <row r="12" spans="1:25" s="593" customFormat="1">
      <c r="A12" s="170" t="s">
        <v>186</v>
      </c>
      <c r="B12" s="170"/>
      <c r="C12" s="170"/>
      <c r="D12" s="170">
        <v>10</v>
      </c>
      <c r="E12" s="599">
        <v>41</v>
      </c>
      <c r="F12" s="599"/>
      <c r="G12" s="599"/>
      <c r="H12" s="599"/>
      <c r="I12" s="599">
        <f t="shared" si="1"/>
        <v>51</v>
      </c>
      <c r="J12" s="624"/>
      <c r="K12" s="625"/>
      <c r="L12" s="625"/>
      <c r="M12" s="625"/>
      <c r="N12" s="625"/>
      <c r="O12" s="623">
        <f t="shared" si="0"/>
        <v>51</v>
      </c>
      <c r="P12" s="626">
        <v>526</v>
      </c>
      <c r="Q12" s="650" t="s">
        <v>50</v>
      </c>
      <c r="R12" s="651">
        <f>I68+I79</f>
        <v>160</v>
      </c>
      <c r="S12" s="651">
        <f>I82-R12</f>
        <v>460</v>
      </c>
      <c r="T12" s="651"/>
      <c r="U12" s="651">
        <f>88-2</f>
        <v>86</v>
      </c>
      <c r="V12" s="651">
        <f>33</f>
        <v>33</v>
      </c>
      <c r="W12" s="651">
        <f t="shared" si="2"/>
        <v>739</v>
      </c>
    </row>
    <row r="13" spans="1:25" s="593" customFormat="1">
      <c r="A13" s="170" t="s">
        <v>58</v>
      </c>
      <c r="B13" s="170"/>
      <c r="C13" s="170"/>
      <c r="D13" s="170">
        <v>36</v>
      </c>
      <c r="E13" s="599">
        <v>37</v>
      </c>
      <c r="F13" s="599"/>
      <c r="G13" s="599"/>
      <c r="H13" s="599"/>
      <c r="I13" s="599">
        <f t="shared" si="1"/>
        <v>73</v>
      </c>
      <c r="J13" s="625"/>
      <c r="K13" s="625"/>
      <c r="L13" s="625"/>
      <c r="M13" s="625"/>
      <c r="N13" s="625"/>
      <c r="O13" s="623">
        <f t="shared" si="0"/>
        <v>73</v>
      </c>
      <c r="P13" s="626">
        <v>116</v>
      </c>
      <c r="Q13" s="652" t="s">
        <v>6</v>
      </c>
      <c r="R13" s="652">
        <f>SUM(R10:R12)</f>
        <v>227</v>
      </c>
      <c r="S13" s="652">
        <f t="shared" ref="S13:W13" si="3">SUM(S10:S12)</f>
        <v>864</v>
      </c>
      <c r="T13" s="652">
        <f t="shared" si="3"/>
        <v>682</v>
      </c>
      <c r="U13" s="652">
        <f t="shared" si="3"/>
        <v>758</v>
      </c>
      <c r="V13" s="652">
        <f t="shared" si="3"/>
        <v>202</v>
      </c>
      <c r="W13" s="652">
        <f t="shared" si="3"/>
        <v>2733</v>
      </c>
      <c r="X13" s="593">
        <v>153</v>
      </c>
      <c r="Y13" s="674">
        <f>SUM(W13:X13)</f>
        <v>2886</v>
      </c>
    </row>
    <row r="14" spans="1:25" s="593" customFormat="1">
      <c r="A14" s="170" t="s">
        <v>187</v>
      </c>
      <c r="B14" s="170"/>
      <c r="C14" s="170"/>
      <c r="D14" s="170"/>
      <c r="E14" s="599">
        <v>17</v>
      </c>
      <c r="F14" s="599"/>
      <c r="G14" s="599"/>
      <c r="H14" s="599"/>
      <c r="I14" s="599">
        <f t="shared" si="1"/>
        <v>17</v>
      </c>
      <c r="J14" s="624">
        <v>24</v>
      </c>
      <c r="K14" s="625"/>
      <c r="L14" s="625"/>
      <c r="M14" s="625"/>
      <c r="N14" s="625"/>
      <c r="O14" s="623">
        <f t="shared" si="0"/>
        <v>41</v>
      </c>
      <c r="Q14" s="650" t="s">
        <v>53</v>
      </c>
      <c r="R14" s="651"/>
      <c r="S14" s="651">
        <f>I40</f>
        <v>36</v>
      </c>
      <c r="T14" s="651"/>
      <c r="U14" s="651">
        <f>64+1+5+1+1</f>
        <v>72</v>
      </c>
      <c r="V14" s="651">
        <v>2</v>
      </c>
      <c r="W14" s="651">
        <f t="shared" si="2"/>
        <v>110</v>
      </c>
    </row>
    <row r="15" spans="1:25" hidden="1">
      <c r="A15" s="170"/>
      <c r="B15" s="170"/>
      <c r="C15" s="170"/>
      <c r="D15" s="170"/>
      <c r="E15" s="599"/>
      <c r="F15" s="599"/>
      <c r="G15" s="599"/>
      <c r="H15" s="599"/>
      <c r="I15" s="599"/>
      <c r="J15" s="627">
        <v>142</v>
      </c>
      <c r="K15" s="624">
        <v>334</v>
      </c>
      <c r="L15" s="624">
        <v>9</v>
      </c>
      <c r="M15" s="599">
        <v>1</v>
      </c>
      <c r="N15" s="599"/>
      <c r="O15" s="618">
        <f t="shared" si="0"/>
        <v>486</v>
      </c>
      <c r="P15" s="143" t="s">
        <v>165</v>
      </c>
      <c r="Q15" s="650" t="s">
        <v>55</v>
      </c>
      <c r="R15" s="651"/>
      <c r="S15" s="651"/>
      <c r="T15" s="651"/>
      <c r="U15" s="651"/>
      <c r="V15" s="651"/>
      <c r="W15" s="651">
        <f t="shared" si="2"/>
        <v>0</v>
      </c>
    </row>
    <row r="16" spans="1:25" hidden="1">
      <c r="A16" s="170" t="s">
        <v>49</v>
      </c>
      <c r="B16" s="170"/>
      <c r="C16" s="170"/>
      <c r="D16" s="170"/>
      <c r="E16" s="599"/>
      <c r="F16" s="599"/>
      <c r="G16" s="599"/>
      <c r="H16" s="599"/>
      <c r="I16" s="599"/>
      <c r="J16" s="627">
        <v>36</v>
      </c>
      <c r="K16" s="599"/>
      <c r="L16" s="599"/>
      <c r="M16" s="599"/>
      <c r="N16" s="599"/>
      <c r="O16" s="618">
        <f t="shared" si="0"/>
        <v>36</v>
      </c>
      <c r="Q16" s="650" t="s">
        <v>57</v>
      </c>
      <c r="R16" s="651"/>
      <c r="S16" s="651"/>
      <c r="T16" s="651"/>
      <c r="U16" s="651"/>
      <c r="V16" s="651"/>
      <c r="W16" s="651">
        <f t="shared" si="2"/>
        <v>0</v>
      </c>
    </row>
    <row r="17" spans="1:27" hidden="1">
      <c r="A17" s="170"/>
      <c r="B17" s="170"/>
      <c r="C17" s="170"/>
      <c r="D17" s="170"/>
      <c r="E17" s="599"/>
      <c r="F17" s="599"/>
      <c r="G17" s="599"/>
      <c r="H17" s="599"/>
      <c r="I17" s="599"/>
      <c r="J17" s="627">
        <v>42</v>
      </c>
      <c r="K17" s="624">
        <v>48</v>
      </c>
      <c r="L17" s="624">
        <v>7</v>
      </c>
      <c r="M17" s="599"/>
      <c r="N17" s="599"/>
      <c r="O17" s="618">
        <f t="shared" si="0"/>
        <v>97</v>
      </c>
      <c r="P17" s="143" t="s">
        <v>167</v>
      </c>
      <c r="Q17" s="653" t="s">
        <v>6</v>
      </c>
      <c r="R17" s="652"/>
      <c r="S17" s="652"/>
      <c r="T17" s="652"/>
      <c r="U17" s="652"/>
      <c r="V17" s="652"/>
      <c r="W17" s="651">
        <f t="shared" si="2"/>
        <v>0</v>
      </c>
    </row>
    <row r="18" spans="1:27" hidden="1">
      <c r="A18" s="170" t="s">
        <v>54</v>
      </c>
      <c r="B18" s="170"/>
      <c r="C18" s="170"/>
      <c r="D18" s="170"/>
      <c r="E18" s="599"/>
      <c r="F18" s="599"/>
      <c r="G18" s="599"/>
      <c r="H18" s="599"/>
      <c r="I18" s="599"/>
      <c r="J18" s="627">
        <v>36</v>
      </c>
      <c r="K18" s="599"/>
      <c r="L18" s="599"/>
      <c r="M18" s="599"/>
      <c r="N18" s="599"/>
      <c r="O18" s="618">
        <f t="shared" si="0"/>
        <v>36</v>
      </c>
      <c r="Q18" s="653" t="s">
        <v>21</v>
      </c>
      <c r="R18" s="652"/>
      <c r="S18" s="652"/>
      <c r="T18" s="652"/>
      <c r="U18" s="652"/>
      <c r="V18" s="652"/>
      <c r="W18" s="652">
        <f t="shared" si="2"/>
        <v>0</v>
      </c>
    </row>
    <row r="19" spans="1:27">
      <c r="A19" s="600" t="s">
        <v>12</v>
      </c>
      <c r="B19" s="600"/>
      <c r="C19" s="600"/>
      <c r="D19" s="600"/>
      <c r="E19" s="173">
        <v>23</v>
      </c>
      <c r="F19" s="601">
        <f>21+23</f>
        <v>44</v>
      </c>
      <c r="G19" s="602"/>
      <c r="H19" s="602"/>
      <c r="I19" s="602">
        <f>SUM(B19:G19)</f>
        <v>67</v>
      </c>
      <c r="J19" s="628">
        <v>117</v>
      </c>
      <c r="K19" s="628">
        <v>146</v>
      </c>
      <c r="L19" s="629">
        <v>22</v>
      </c>
      <c r="M19" s="629"/>
      <c r="N19" s="629"/>
      <c r="O19" s="618">
        <f t="shared" si="0"/>
        <v>352</v>
      </c>
      <c r="Q19" s="650" t="s">
        <v>55</v>
      </c>
      <c r="R19" s="654"/>
      <c r="S19" s="655">
        <f>I44</f>
        <v>9</v>
      </c>
      <c r="T19" s="654"/>
      <c r="U19" s="654"/>
      <c r="V19" s="654"/>
      <c r="W19" s="655">
        <f t="shared" si="2"/>
        <v>9</v>
      </c>
      <c r="Y19" s="173">
        <v>23</v>
      </c>
      <c r="Z19" s="601">
        <f>101+202</f>
        <v>303</v>
      </c>
    </row>
    <row r="20" spans="1:27">
      <c r="A20" s="174" t="s">
        <v>6</v>
      </c>
      <c r="B20" s="174">
        <f t="shared" ref="B20:N20" si="4">SUM(B6:B19)</f>
        <v>3</v>
      </c>
      <c r="C20" s="174">
        <f t="shared" si="4"/>
        <v>11</v>
      </c>
      <c r="D20" s="174">
        <f t="shared" si="4"/>
        <v>257</v>
      </c>
      <c r="E20" s="174">
        <f t="shared" si="4"/>
        <v>434</v>
      </c>
      <c r="F20" s="174">
        <f t="shared" si="4"/>
        <v>44</v>
      </c>
      <c r="G20" s="174">
        <f t="shared" si="4"/>
        <v>0</v>
      </c>
      <c r="H20" s="174">
        <f t="shared" si="4"/>
        <v>0</v>
      </c>
      <c r="I20" s="174">
        <f t="shared" si="4"/>
        <v>749</v>
      </c>
      <c r="J20" s="174">
        <f t="shared" si="4"/>
        <v>512</v>
      </c>
      <c r="K20" s="174">
        <f t="shared" si="4"/>
        <v>592</v>
      </c>
      <c r="L20" s="174">
        <f t="shared" si="4"/>
        <v>58</v>
      </c>
      <c r="M20" s="174">
        <f t="shared" si="4"/>
        <v>55</v>
      </c>
      <c r="N20" s="174">
        <f t="shared" si="4"/>
        <v>0</v>
      </c>
      <c r="O20" s="630">
        <f t="shared" si="0"/>
        <v>1966</v>
      </c>
      <c r="P20" s="631">
        <f>1563+44+26+48+23+18+56+38</f>
        <v>1816</v>
      </c>
      <c r="Q20" s="650" t="s">
        <v>57</v>
      </c>
      <c r="R20" s="656">
        <f>I31+I32+I33+I34+I35</f>
        <v>138</v>
      </c>
      <c r="S20" s="656">
        <f>I36-R20</f>
        <v>44</v>
      </c>
      <c r="T20" s="657"/>
      <c r="U20" s="655">
        <f>14-3</f>
        <v>11</v>
      </c>
      <c r="V20" s="654"/>
      <c r="W20" s="655">
        <f t="shared" si="2"/>
        <v>193</v>
      </c>
      <c r="X20" s="658"/>
      <c r="Y20" s="658"/>
    </row>
    <row r="21" spans="1:27">
      <c r="A21" s="603" t="s">
        <v>188</v>
      </c>
      <c r="B21" s="603"/>
      <c r="C21" s="603"/>
      <c r="D21" s="603"/>
      <c r="E21" s="604"/>
      <c r="F21" s="605"/>
      <c r="G21" s="604"/>
      <c r="H21" s="604"/>
      <c r="I21" s="604"/>
      <c r="J21" s="604"/>
      <c r="K21" s="604"/>
      <c r="L21" s="604"/>
      <c r="M21" s="604"/>
      <c r="N21" s="604"/>
      <c r="O21" s="611"/>
      <c r="P21" s="143">
        <f>1844-1816</f>
        <v>28</v>
      </c>
      <c r="Q21" s="653" t="s">
        <v>6</v>
      </c>
      <c r="R21" s="652">
        <f t="shared" ref="R21:W21" si="5">SUM(R14:R20)</f>
        <v>138</v>
      </c>
      <c r="S21" s="652">
        <f t="shared" si="5"/>
        <v>89</v>
      </c>
      <c r="T21" s="652">
        <f t="shared" si="5"/>
        <v>0</v>
      </c>
      <c r="U21" s="652">
        <f t="shared" si="5"/>
        <v>83</v>
      </c>
      <c r="V21" s="652">
        <f t="shared" si="5"/>
        <v>2</v>
      </c>
      <c r="W21" s="652">
        <f t="shared" si="5"/>
        <v>312</v>
      </c>
    </row>
    <row r="22" spans="1:27" s="593" customFormat="1">
      <c r="A22" s="172" t="s">
        <v>189</v>
      </c>
      <c r="B22" s="172"/>
      <c r="C22" s="172"/>
      <c r="D22" s="172">
        <v>1</v>
      </c>
      <c r="E22" s="606"/>
      <c r="F22" s="143">
        <v>20</v>
      </c>
      <c r="G22" s="211">
        <v>15</v>
      </c>
      <c r="H22" s="211"/>
      <c r="I22" s="599">
        <f t="shared" ref="I22:I35" si="6">SUM(B22:H22)</f>
        <v>36</v>
      </c>
      <c r="J22" s="632"/>
      <c r="K22" s="632"/>
      <c r="L22" s="632"/>
      <c r="M22" s="632"/>
      <c r="N22" s="632"/>
      <c r="O22" s="623">
        <f>SUM(I22:N22)</f>
        <v>36</v>
      </c>
      <c r="Q22" s="653" t="s">
        <v>21</v>
      </c>
      <c r="R22" s="659">
        <f>SUM(R13,R21)</f>
        <v>365</v>
      </c>
      <c r="S22" s="659">
        <f t="shared" ref="S22:W22" si="7">SUM(S13,S21)</f>
        <v>953</v>
      </c>
      <c r="T22" s="659">
        <f t="shared" si="7"/>
        <v>682</v>
      </c>
      <c r="U22" s="659">
        <f t="shared" si="7"/>
        <v>841</v>
      </c>
      <c r="V22" s="659">
        <f t="shared" si="7"/>
        <v>204</v>
      </c>
      <c r="W22" s="659">
        <f t="shared" si="7"/>
        <v>3045</v>
      </c>
    </row>
    <row r="23" spans="1:27">
      <c r="A23" s="172" t="s">
        <v>190</v>
      </c>
      <c r="B23" s="172"/>
      <c r="C23" s="172"/>
      <c r="D23" s="172">
        <v>4</v>
      </c>
      <c r="E23" s="607">
        <v>1</v>
      </c>
      <c r="G23" s="211"/>
      <c r="H23" s="211"/>
      <c r="I23" s="599">
        <f t="shared" si="6"/>
        <v>5</v>
      </c>
      <c r="J23" s="607"/>
      <c r="K23" s="607"/>
      <c r="L23" s="607"/>
      <c r="M23" s="607"/>
      <c r="N23" s="607"/>
      <c r="O23" s="618">
        <f>SUM(I23:N23)</f>
        <v>5</v>
      </c>
      <c r="Q23" s="593"/>
      <c r="R23" s="825">
        <f>R22+S22+T22</f>
        <v>2000</v>
      </c>
      <c r="S23" s="826"/>
      <c r="T23" s="827"/>
      <c r="U23" s="593"/>
      <c r="V23" s="593"/>
      <c r="W23" s="593"/>
    </row>
    <row r="24" spans="1:27" s="593" customFormat="1">
      <c r="A24" s="172" t="s">
        <v>191</v>
      </c>
      <c r="B24" s="172"/>
      <c r="C24" s="172"/>
      <c r="D24" s="172"/>
      <c r="E24" s="607"/>
      <c r="F24" s="608"/>
      <c r="G24" s="607"/>
      <c r="H24" s="607"/>
      <c r="I24" s="599">
        <f t="shared" si="6"/>
        <v>0</v>
      </c>
      <c r="J24" s="633"/>
      <c r="K24" s="633"/>
      <c r="L24" s="634"/>
      <c r="M24" s="634"/>
      <c r="N24" s="634"/>
      <c r="O24" s="623">
        <f t="shared" ref="O24:O82" si="8">SUM(I24:N24)</f>
        <v>0</v>
      </c>
      <c r="Q24" s="593" t="s">
        <v>192</v>
      </c>
      <c r="W24" s="593">
        <f>841+204</f>
        <v>1045</v>
      </c>
      <c r="X24" s="593">
        <v>67</v>
      </c>
      <c r="Y24" s="593">
        <f>SUM(W24:X24)</f>
        <v>1112</v>
      </c>
      <c r="Z24" s="593">
        <v>46</v>
      </c>
      <c r="AA24" s="593">
        <f>SUM(Y24:Z24)</f>
        <v>1158</v>
      </c>
    </row>
    <row r="25" spans="1:27" s="593" customFormat="1">
      <c r="A25" s="172" t="s">
        <v>193</v>
      </c>
      <c r="B25" s="172"/>
      <c r="C25" s="172"/>
      <c r="D25" s="172">
        <v>1</v>
      </c>
      <c r="E25" s="606">
        <v>2</v>
      </c>
      <c r="F25" s="609"/>
      <c r="G25" s="607"/>
      <c r="H25" s="607"/>
      <c r="I25" s="599">
        <f t="shared" si="6"/>
        <v>3</v>
      </c>
      <c r="J25" s="632"/>
      <c r="K25" s="632"/>
      <c r="L25" s="632"/>
      <c r="M25" s="632"/>
      <c r="N25" s="632"/>
      <c r="O25" s="623">
        <f t="shared" si="8"/>
        <v>3</v>
      </c>
      <c r="Q25" s="143"/>
      <c r="R25" s="143"/>
      <c r="S25" s="143"/>
      <c r="T25" s="143"/>
      <c r="U25" s="143"/>
      <c r="V25" s="143"/>
      <c r="W25" s="143"/>
    </row>
    <row r="26" spans="1:27" hidden="1">
      <c r="A26" s="172" t="s">
        <v>195</v>
      </c>
      <c r="B26" s="172"/>
      <c r="C26" s="172"/>
      <c r="D26" s="172"/>
      <c r="E26" s="607"/>
      <c r="F26" s="609"/>
      <c r="G26" s="607"/>
      <c r="H26" s="607"/>
      <c r="I26" s="599">
        <f t="shared" si="6"/>
        <v>0</v>
      </c>
      <c r="J26" s="607"/>
      <c r="K26" s="607"/>
      <c r="L26" s="607"/>
      <c r="M26" s="607"/>
      <c r="N26" s="607"/>
      <c r="O26" s="618"/>
    </row>
    <row r="27" spans="1:27" s="593" customFormat="1" hidden="1">
      <c r="A27" s="172" t="s">
        <v>196</v>
      </c>
      <c r="B27" s="172"/>
      <c r="C27" s="172"/>
      <c r="D27" s="172"/>
      <c r="E27" s="607"/>
      <c r="F27" s="608"/>
      <c r="G27" s="607"/>
      <c r="H27" s="607"/>
      <c r="I27" s="599">
        <f t="shared" si="6"/>
        <v>0</v>
      </c>
      <c r="J27" s="634"/>
      <c r="K27" s="634"/>
      <c r="L27" s="634"/>
      <c r="M27" s="634"/>
      <c r="N27" s="634"/>
      <c r="O27" s="623"/>
      <c r="Q27" s="143"/>
      <c r="R27" s="143"/>
      <c r="S27" s="143"/>
      <c r="T27" s="143"/>
      <c r="U27" s="143"/>
      <c r="V27" s="143"/>
      <c r="W27" s="143"/>
    </row>
    <row r="28" spans="1:27" s="593" customFormat="1" hidden="1">
      <c r="A28" s="172" t="s">
        <v>197</v>
      </c>
      <c r="B28" s="172"/>
      <c r="C28" s="172"/>
      <c r="D28" s="172"/>
      <c r="E28" s="607"/>
      <c r="F28" s="608"/>
      <c r="G28" s="607"/>
      <c r="H28" s="607"/>
      <c r="I28" s="599">
        <f t="shared" si="6"/>
        <v>0</v>
      </c>
      <c r="J28" s="633"/>
      <c r="K28" s="633"/>
      <c r="L28" s="634"/>
      <c r="M28" s="634"/>
      <c r="N28" s="634"/>
      <c r="O28" s="623">
        <f>SUM(I28:N28)</f>
        <v>0</v>
      </c>
      <c r="Q28" s="143"/>
      <c r="R28" s="143"/>
      <c r="S28" s="143"/>
      <c r="T28" s="143"/>
      <c r="U28" s="143"/>
      <c r="V28" s="143"/>
      <c r="W28" s="143"/>
    </row>
    <row r="29" spans="1:27" hidden="1">
      <c r="A29" s="172" t="s">
        <v>198</v>
      </c>
      <c r="B29" s="172"/>
      <c r="C29" s="172"/>
      <c r="D29" s="172"/>
      <c r="E29" s="607"/>
      <c r="F29" s="608"/>
      <c r="G29" s="607"/>
      <c r="H29" s="607"/>
      <c r="I29" s="599">
        <f t="shared" si="6"/>
        <v>0</v>
      </c>
      <c r="J29" s="635"/>
      <c r="K29" s="633"/>
      <c r="L29" s="607"/>
      <c r="M29" s="607"/>
      <c r="N29" s="607"/>
      <c r="O29" s="618">
        <f t="shared" si="8"/>
        <v>0</v>
      </c>
    </row>
    <row r="30" spans="1:27" hidden="1">
      <c r="A30" s="172" t="s">
        <v>199</v>
      </c>
      <c r="B30" s="172"/>
      <c r="C30" s="172"/>
      <c r="D30" s="172"/>
      <c r="E30" s="607"/>
      <c r="F30" s="608"/>
      <c r="G30" s="607"/>
      <c r="H30" s="607"/>
      <c r="I30" s="599">
        <f t="shared" si="6"/>
        <v>0</v>
      </c>
      <c r="J30" s="635"/>
      <c r="K30" s="633"/>
      <c r="L30" s="607"/>
      <c r="M30" s="607"/>
      <c r="N30" s="607"/>
      <c r="O30" s="618">
        <f t="shared" ref="O30:O35" si="9">SUM(I30:N30)</f>
        <v>0</v>
      </c>
    </row>
    <row r="31" spans="1:27" s="593" customFormat="1">
      <c r="A31" s="172" t="s">
        <v>200</v>
      </c>
      <c r="B31" s="172"/>
      <c r="C31" s="172"/>
      <c r="D31" s="172"/>
      <c r="E31" s="606"/>
      <c r="F31" s="609">
        <v>22</v>
      </c>
      <c r="G31" s="607"/>
      <c r="H31" s="607"/>
      <c r="I31" s="599">
        <f t="shared" si="6"/>
        <v>22</v>
      </c>
      <c r="J31" s="632"/>
      <c r="K31" s="632"/>
      <c r="L31" s="632"/>
      <c r="M31" s="632"/>
      <c r="N31" s="632"/>
      <c r="O31" s="623">
        <f t="shared" si="9"/>
        <v>22</v>
      </c>
      <c r="Q31" s="593" t="s">
        <v>201</v>
      </c>
      <c r="R31" s="143"/>
      <c r="S31" s="143"/>
      <c r="T31" s="153">
        <f>T22+S22+R22</f>
        <v>2000</v>
      </c>
      <c r="U31" s="143"/>
      <c r="V31" s="143">
        <f>343-120</f>
        <v>223</v>
      </c>
      <c r="W31" s="143">
        <v>415</v>
      </c>
      <c r="X31" s="593">
        <f>SUM(V31:W31)</f>
        <v>638</v>
      </c>
    </row>
    <row r="32" spans="1:27" s="593" customFormat="1">
      <c r="A32" s="172" t="s">
        <v>202</v>
      </c>
      <c r="B32" s="172"/>
      <c r="C32" s="172"/>
      <c r="D32" s="172"/>
      <c r="E32" s="607"/>
      <c r="F32" s="608">
        <v>31</v>
      </c>
      <c r="G32" s="607">
        <v>30</v>
      </c>
      <c r="H32" s="607"/>
      <c r="I32" s="599">
        <f t="shared" si="6"/>
        <v>61</v>
      </c>
      <c r="J32" s="634"/>
      <c r="K32" s="634"/>
      <c r="L32" s="634"/>
      <c r="M32" s="634"/>
      <c r="N32" s="634"/>
      <c r="O32" s="623">
        <f t="shared" si="9"/>
        <v>61</v>
      </c>
      <c r="Q32" s="143"/>
      <c r="R32" s="143"/>
      <c r="S32" s="143"/>
      <c r="T32" s="143">
        <v>329</v>
      </c>
      <c r="U32" s="143"/>
      <c r="V32" s="143"/>
      <c r="W32" s="143"/>
    </row>
    <row r="33" spans="1:26" s="593" customFormat="1">
      <c r="A33" s="172" t="s">
        <v>203</v>
      </c>
      <c r="B33" s="172"/>
      <c r="C33" s="172"/>
      <c r="D33" s="172"/>
      <c r="E33" s="607"/>
      <c r="F33" s="608">
        <v>12</v>
      </c>
      <c r="G33" s="607"/>
      <c r="H33" s="607"/>
      <c r="I33" s="599">
        <f t="shared" si="6"/>
        <v>12</v>
      </c>
      <c r="J33" s="634"/>
      <c r="K33" s="634"/>
      <c r="L33" s="634"/>
      <c r="M33" s="634"/>
      <c r="N33" s="634"/>
      <c r="O33" s="623">
        <f t="shared" si="9"/>
        <v>12</v>
      </c>
      <c r="Q33" s="143"/>
      <c r="R33" s="143"/>
      <c r="S33" s="143"/>
      <c r="T33" s="153">
        <f>T31-T32</f>
        <v>1671</v>
      </c>
      <c r="U33" s="143"/>
      <c r="V33" s="143"/>
      <c r="W33" s="143"/>
    </row>
    <row r="34" spans="1:26" s="593" customFormat="1">
      <c r="A34" s="172" t="s">
        <v>204</v>
      </c>
      <c r="B34" s="172"/>
      <c r="C34" s="172"/>
      <c r="D34" s="172"/>
      <c r="E34" s="607"/>
      <c r="F34" s="608">
        <v>3</v>
      </c>
      <c r="G34" s="607">
        <v>27</v>
      </c>
      <c r="H34" s="607"/>
      <c r="I34" s="599">
        <f t="shared" si="6"/>
        <v>30</v>
      </c>
      <c r="J34" s="634"/>
      <c r="K34" s="634"/>
      <c r="L34" s="634"/>
      <c r="M34" s="634"/>
      <c r="N34" s="634"/>
      <c r="O34" s="623">
        <f t="shared" si="9"/>
        <v>30</v>
      </c>
      <c r="Q34" s="143"/>
      <c r="R34" s="143"/>
      <c r="S34" s="143"/>
      <c r="T34" s="143"/>
      <c r="U34" s="143"/>
      <c r="V34" s="143"/>
      <c r="W34" s="143"/>
    </row>
    <row r="35" spans="1:26">
      <c r="A35" s="172" t="s">
        <v>235</v>
      </c>
      <c r="B35" s="172"/>
      <c r="C35" s="172"/>
      <c r="D35" s="172"/>
      <c r="E35" s="607"/>
      <c r="F35" s="608"/>
      <c r="G35" s="610">
        <v>13</v>
      </c>
      <c r="H35" s="611"/>
      <c r="I35" s="607">
        <f t="shared" si="6"/>
        <v>13</v>
      </c>
      <c r="J35" s="635"/>
      <c r="K35" s="633"/>
      <c r="L35" s="607"/>
      <c r="M35" s="607"/>
      <c r="N35" s="607"/>
      <c r="O35" s="618">
        <f t="shared" si="9"/>
        <v>13</v>
      </c>
    </row>
    <row r="36" spans="1:26">
      <c r="A36" s="174" t="s">
        <v>6</v>
      </c>
      <c r="B36" s="191">
        <f t="shared" ref="B36:I36" si="10">SUM(B22:B35)</f>
        <v>0</v>
      </c>
      <c r="C36" s="191">
        <f t="shared" si="10"/>
        <v>0</v>
      </c>
      <c r="D36" s="191">
        <f t="shared" si="10"/>
        <v>6</v>
      </c>
      <c r="E36" s="191">
        <f t="shared" si="10"/>
        <v>3</v>
      </c>
      <c r="F36" s="191">
        <f t="shared" si="10"/>
        <v>88</v>
      </c>
      <c r="G36" s="191">
        <f t="shared" si="10"/>
        <v>85</v>
      </c>
      <c r="H36" s="191">
        <f t="shared" si="10"/>
        <v>0</v>
      </c>
      <c r="I36" s="191">
        <f t="shared" si="10"/>
        <v>182</v>
      </c>
      <c r="J36" s="191">
        <f>SUM(J24:J26)</f>
        <v>0</v>
      </c>
      <c r="K36" s="191">
        <f>SUM(K24:K26)</f>
        <v>0</v>
      </c>
      <c r="L36" s="191">
        <f>SUM(L24:L26)</f>
        <v>0</v>
      </c>
      <c r="M36" s="191">
        <f>SUM(M24:M26)</f>
        <v>0</v>
      </c>
      <c r="N36" s="191">
        <f>SUM(N24:N26)</f>
        <v>0</v>
      </c>
      <c r="O36" s="630">
        <f t="shared" si="8"/>
        <v>182</v>
      </c>
      <c r="P36" s="636">
        <f>138+24+17</f>
        <v>179</v>
      </c>
      <c r="Q36" s="660">
        <f>G36</f>
        <v>85</v>
      </c>
      <c r="R36" s="660"/>
      <c r="S36" s="660"/>
      <c r="T36" s="660"/>
      <c r="V36" s="661">
        <f>E36</f>
        <v>3</v>
      </c>
      <c r="W36" s="143" t="s">
        <v>206</v>
      </c>
    </row>
    <row r="37" spans="1:26">
      <c r="A37" s="612" t="s">
        <v>70</v>
      </c>
      <c r="B37" s="612"/>
      <c r="C37" s="612"/>
      <c r="D37" s="612"/>
      <c r="E37" s="613"/>
      <c r="F37" s="613"/>
      <c r="G37" s="613"/>
      <c r="H37" s="613"/>
      <c r="I37" s="613"/>
      <c r="J37" s="613"/>
      <c r="K37" s="613"/>
      <c r="L37" s="613"/>
      <c r="M37" s="613"/>
      <c r="N37" s="613"/>
      <c r="O37" s="618">
        <f t="shared" si="8"/>
        <v>0</v>
      </c>
    </row>
    <row r="38" spans="1:26" s="593" customFormat="1">
      <c r="A38" s="614" t="s">
        <v>207</v>
      </c>
      <c r="B38" s="614"/>
      <c r="C38" s="614"/>
      <c r="D38" s="615"/>
      <c r="E38" s="604"/>
      <c r="F38" s="604">
        <v>16</v>
      </c>
      <c r="G38" s="604">
        <v>20</v>
      </c>
      <c r="H38" s="604"/>
      <c r="I38" s="604">
        <f>SUM(B38:H38)</f>
        <v>36</v>
      </c>
      <c r="J38" s="637"/>
      <c r="K38" s="637"/>
      <c r="L38" s="637"/>
      <c r="M38" s="638">
        <v>26</v>
      </c>
      <c r="N38" s="638"/>
      <c r="O38" s="623">
        <f t="shared" si="8"/>
        <v>62</v>
      </c>
      <c r="Q38" s="143"/>
      <c r="R38" s="143"/>
      <c r="S38" s="143"/>
      <c r="T38" s="143"/>
      <c r="U38" s="662">
        <v>120</v>
      </c>
      <c r="V38" s="143"/>
      <c r="W38" s="143"/>
    </row>
    <row r="39" spans="1:26">
      <c r="A39" s="180" t="s">
        <v>72</v>
      </c>
      <c r="B39" s="180"/>
      <c r="C39" s="180"/>
      <c r="D39" s="180"/>
      <c r="E39" s="606"/>
      <c r="F39" s="606"/>
      <c r="G39" s="606"/>
      <c r="H39" s="606"/>
      <c r="I39" s="606">
        <f>SUM(B39:H39)</f>
        <v>0</v>
      </c>
      <c r="J39" s="606"/>
      <c r="K39" s="606"/>
      <c r="L39" s="606"/>
      <c r="M39" s="639">
        <v>12</v>
      </c>
      <c r="N39" s="606"/>
      <c r="O39" s="618">
        <f t="shared" si="8"/>
        <v>12</v>
      </c>
    </row>
    <row r="40" spans="1:26">
      <c r="A40" s="174" t="s">
        <v>6</v>
      </c>
      <c r="B40" s="191">
        <f t="shared" ref="B40:N40" si="11">SUM(B38:B39)</f>
        <v>0</v>
      </c>
      <c r="C40" s="191">
        <f t="shared" si="11"/>
        <v>0</v>
      </c>
      <c r="D40" s="191">
        <f t="shared" si="11"/>
        <v>0</v>
      </c>
      <c r="E40" s="191">
        <f t="shared" si="11"/>
        <v>0</v>
      </c>
      <c r="F40" s="191">
        <f t="shared" si="11"/>
        <v>16</v>
      </c>
      <c r="G40" s="191">
        <f t="shared" si="11"/>
        <v>20</v>
      </c>
      <c r="H40" s="191">
        <f t="shared" si="11"/>
        <v>0</v>
      </c>
      <c r="I40" s="191">
        <f t="shared" si="11"/>
        <v>36</v>
      </c>
      <c r="J40" s="191">
        <f t="shared" si="11"/>
        <v>0</v>
      </c>
      <c r="K40" s="191">
        <f t="shared" si="11"/>
        <v>0</v>
      </c>
      <c r="L40" s="191">
        <f t="shared" si="11"/>
        <v>0</v>
      </c>
      <c r="M40" s="191">
        <f t="shared" si="11"/>
        <v>38</v>
      </c>
      <c r="N40" s="191">
        <f t="shared" si="11"/>
        <v>0</v>
      </c>
      <c r="O40" s="630">
        <f t="shared" si="8"/>
        <v>74</v>
      </c>
      <c r="Q40" s="660">
        <f>G40</f>
        <v>20</v>
      </c>
      <c r="R40" s="660"/>
      <c r="S40" s="660"/>
    </row>
    <row r="41" spans="1:26">
      <c r="A41" s="612" t="s">
        <v>108</v>
      </c>
      <c r="B41" s="612"/>
      <c r="C41" s="612"/>
      <c r="D41" s="612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8">
        <f t="shared" si="8"/>
        <v>0</v>
      </c>
    </row>
    <row r="42" spans="1:26" s="593" customFormat="1">
      <c r="A42" s="614" t="s">
        <v>55</v>
      </c>
      <c r="B42" s="614"/>
      <c r="C42" s="614"/>
      <c r="D42" s="615"/>
      <c r="E42" s="604"/>
      <c r="F42" s="604">
        <v>9</v>
      </c>
      <c r="G42" s="604"/>
      <c r="H42" s="604"/>
      <c r="I42" s="604">
        <f>SUM(B42:H42)</f>
        <v>9</v>
      </c>
      <c r="J42" s="637"/>
      <c r="K42" s="637"/>
      <c r="L42" s="637"/>
      <c r="M42" s="638">
        <v>26</v>
      </c>
      <c r="N42" s="638"/>
      <c r="O42" s="623">
        <f t="shared" si="8"/>
        <v>35</v>
      </c>
      <c r="Q42" s="143"/>
      <c r="R42" s="143"/>
      <c r="S42" s="143"/>
      <c r="T42" s="143"/>
      <c r="U42" s="662">
        <v>120</v>
      </c>
      <c r="V42" s="143"/>
      <c r="W42" s="143"/>
    </row>
    <row r="43" spans="1:26">
      <c r="A43" s="180"/>
      <c r="B43" s="180"/>
      <c r="C43" s="180"/>
      <c r="D43" s="180"/>
      <c r="E43" s="606"/>
      <c r="F43" s="606"/>
      <c r="G43" s="606"/>
      <c r="H43" s="606"/>
      <c r="I43" s="606"/>
      <c r="J43" s="606"/>
      <c r="K43" s="606"/>
      <c r="L43" s="606"/>
      <c r="M43" s="639"/>
      <c r="N43" s="606"/>
      <c r="O43" s="618"/>
    </row>
    <row r="44" spans="1:26">
      <c r="A44" s="174" t="s">
        <v>6</v>
      </c>
      <c r="B44" s="191">
        <f t="shared" ref="B44:N44" si="12">SUM(B42:B43)</f>
        <v>0</v>
      </c>
      <c r="C44" s="191">
        <f t="shared" si="12"/>
        <v>0</v>
      </c>
      <c r="D44" s="191">
        <f t="shared" si="12"/>
        <v>0</v>
      </c>
      <c r="E44" s="191">
        <f t="shared" si="12"/>
        <v>0</v>
      </c>
      <c r="F44" s="191">
        <f t="shared" si="12"/>
        <v>9</v>
      </c>
      <c r="G44" s="191">
        <f t="shared" si="12"/>
        <v>0</v>
      </c>
      <c r="H44" s="191">
        <f t="shared" si="12"/>
        <v>0</v>
      </c>
      <c r="I44" s="191">
        <f t="shared" si="12"/>
        <v>9</v>
      </c>
      <c r="J44" s="191">
        <f t="shared" si="12"/>
        <v>0</v>
      </c>
      <c r="K44" s="191">
        <f t="shared" si="12"/>
        <v>0</v>
      </c>
      <c r="L44" s="191">
        <f t="shared" si="12"/>
        <v>0</v>
      </c>
      <c r="M44" s="191">
        <f t="shared" si="12"/>
        <v>26</v>
      </c>
      <c r="N44" s="191">
        <f t="shared" si="12"/>
        <v>0</v>
      </c>
      <c r="O44" s="630">
        <f t="shared" si="8"/>
        <v>35</v>
      </c>
      <c r="Q44" s="660">
        <f>G44</f>
        <v>0</v>
      </c>
      <c r="R44" s="660"/>
      <c r="S44" s="660"/>
    </row>
    <row r="45" spans="1:26">
      <c r="A45" s="612" t="s">
        <v>125</v>
      </c>
      <c r="B45" s="612"/>
      <c r="C45" s="612"/>
      <c r="D45" s="612"/>
      <c r="E45" s="613"/>
      <c r="F45" s="613"/>
      <c r="G45" s="613"/>
      <c r="H45" s="613"/>
      <c r="I45" s="613"/>
      <c r="J45" s="613"/>
      <c r="K45" s="613"/>
      <c r="L45" s="613"/>
      <c r="M45" s="613"/>
      <c r="N45" s="613"/>
      <c r="O45" s="618">
        <f t="shared" si="8"/>
        <v>0</v>
      </c>
    </row>
    <row r="46" spans="1:26">
      <c r="A46" s="614" t="s">
        <v>208</v>
      </c>
      <c r="B46" s="614"/>
      <c r="C46" s="614"/>
      <c r="D46" s="614"/>
      <c r="E46" s="604"/>
      <c r="F46" s="604"/>
      <c r="G46" s="604"/>
      <c r="H46" s="604"/>
      <c r="I46" s="604"/>
      <c r="J46" s="604"/>
      <c r="K46" s="604"/>
      <c r="L46" s="604"/>
      <c r="M46" s="604"/>
      <c r="N46" s="604"/>
      <c r="O46" s="618">
        <f t="shared" si="8"/>
        <v>0</v>
      </c>
    </row>
    <row r="47" spans="1:26" s="593" customFormat="1">
      <c r="A47" s="180" t="s">
        <v>127</v>
      </c>
      <c r="B47" s="180">
        <v>1</v>
      </c>
      <c r="C47" s="180"/>
      <c r="D47" s="180">
        <v>7</v>
      </c>
      <c r="E47" s="606">
        <v>16</v>
      </c>
      <c r="F47" s="606">
        <f>22+10</f>
        <v>32</v>
      </c>
      <c r="G47" s="606">
        <v>23</v>
      </c>
      <c r="H47" s="606"/>
      <c r="I47" s="606">
        <f>SUM(B47:H47)</f>
        <v>79</v>
      </c>
      <c r="J47" s="632"/>
      <c r="K47" s="639">
        <v>28</v>
      </c>
      <c r="L47" s="632"/>
      <c r="M47" s="632"/>
      <c r="N47" s="632"/>
      <c r="O47" s="623">
        <f t="shared" si="8"/>
        <v>107</v>
      </c>
      <c r="Q47" s="143"/>
      <c r="R47" s="143"/>
      <c r="S47" s="143"/>
      <c r="T47" s="143"/>
      <c r="U47" s="143"/>
      <c r="V47" s="143" t="s">
        <v>209</v>
      </c>
      <c r="W47" s="658">
        <f>I58-(X47+Y47)</f>
        <v>165</v>
      </c>
      <c r="X47" s="663">
        <f>I52+I57</f>
        <v>189</v>
      </c>
      <c r="Y47" s="663">
        <f>I56</f>
        <v>50</v>
      </c>
      <c r="Z47" s="663">
        <f>SUM(W47:Y47)</f>
        <v>404</v>
      </c>
    </row>
    <row r="48" spans="1:26" hidden="1">
      <c r="A48" s="180" t="s">
        <v>130</v>
      </c>
      <c r="B48" s="180"/>
      <c r="C48" s="180"/>
      <c r="D48" s="180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18">
        <f t="shared" si="8"/>
        <v>0</v>
      </c>
    </row>
    <row r="49" spans="1:23" s="593" customFormat="1">
      <c r="A49" s="180" t="s">
        <v>129</v>
      </c>
      <c r="B49" s="180"/>
      <c r="C49" s="180"/>
      <c r="D49" s="180"/>
      <c r="E49" s="606"/>
      <c r="F49" s="606">
        <v>15</v>
      </c>
      <c r="G49" s="606">
        <v>34</v>
      </c>
      <c r="H49" s="606"/>
      <c r="I49" s="606">
        <f>SUM(B49:H49)</f>
        <v>49</v>
      </c>
      <c r="J49" s="632"/>
      <c r="K49" s="639">
        <v>28</v>
      </c>
      <c r="L49" s="632"/>
      <c r="M49" s="632"/>
      <c r="N49" s="632"/>
      <c r="O49" s="623">
        <f t="shared" si="8"/>
        <v>77</v>
      </c>
      <c r="Q49" s="143"/>
      <c r="R49" s="143"/>
      <c r="S49" s="143"/>
      <c r="T49" s="143"/>
      <c r="U49" s="143"/>
      <c r="V49" s="143"/>
      <c r="W49" s="143"/>
    </row>
    <row r="50" spans="1:23">
      <c r="A50" s="180" t="s">
        <v>133</v>
      </c>
      <c r="B50" s="180"/>
      <c r="C50" s="180"/>
      <c r="D50" s="180"/>
      <c r="E50" s="606"/>
      <c r="F50" s="606"/>
      <c r="G50" s="606"/>
      <c r="H50" s="606"/>
      <c r="I50" s="606">
        <f>SUM(B50:H50)</f>
        <v>0</v>
      </c>
      <c r="J50" s="606"/>
      <c r="K50" s="639">
        <v>28</v>
      </c>
      <c r="L50" s="606"/>
      <c r="M50" s="606"/>
      <c r="N50" s="606"/>
      <c r="O50" s="618">
        <f t="shared" si="8"/>
        <v>28</v>
      </c>
    </row>
    <row r="51" spans="1:23" s="593" customFormat="1">
      <c r="A51" s="180" t="s">
        <v>210</v>
      </c>
      <c r="B51" s="180"/>
      <c r="C51" s="180"/>
      <c r="D51" s="180">
        <v>3</v>
      </c>
      <c r="E51" s="606">
        <v>18</v>
      </c>
      <c r="F51" s="606">
        <v>16</v>
      </c>
      <c r="G51" s="606"/>
      <c r="H51" s="606"/>
      <c r="I51" s="606">
        <f>SUM(B51:H51)</f>
        <v>37</v>
      </c>
      <c r="J51" s="639"/>
      <c r="K51" s="639"/>
      <c r="L51" s="632"/>
      <c r="M51" s="632"/>
      <c r="N51" s="632"/>
      <c r="O51" s="623">
        <f t="shared" si="8"/>
        <v>37</v>
      </c>
      <c r="P51" s="593" t="s">
        <v>167</v>
      </c>
      <c r="Q51" s="143"/>
      <c r="R51" s="143"/>
      <c r="S51" s="143"/>
      <c r="T51" s="143"/>
      <c r="U51" s="143"/>
      <c r="V51" s="143"/>
      <c r="W51" s="143"/>
    </row>
    <row r="52" spans="1:23" s="593" customFormat="1">
      <c r="A52" s="180" t="s">
        <v>136</v>
      </c>
      <c r="B52" s="180"/>
      <c r="C52" s="180"/>
      <c r="D52" s="180"/>
      <c r="E52" s="606"/>
      <c r="F52" s="606">
        <v>31</v>
      </c>
      <c r="G52" s="606">
        <v>20</v>
      </c>
      <c r="H52" s="606"/>
      <c r="I52" s="606">
        <f>SUM(B52:H52)</f>
        <v>51</v>
      </c>
      <c r="J52" s="639">
        <v>21</v>
      </c>
      <c r="K52" s="639">
        <v>18</v>
      </c>
      <c r="L52" s="632">
        <v>1</v>
      </c>
      <c r="M52" s="632">
        <v>2</v>
      </c>
      <c r="N52" s="632"/>
      <c r="O52" s="623">
        <f t="shared" si="8"/>
        <v>93</v>
      </c>
      <c r="P52" s="593" t="s">
        <v>167</v>
      </c>
      <c r="Q52" s="143"/>
      <c r="R52" s="143"/>
      <c r="S52" s="143"/>
      <c r="T52" s="143"/>
      <c r="U52" s="143"/>
      <c r="V52" s="143"/>
      <c r="W52" s="143"/>
    </row>
    <row r="53" spans="1:23" hidden="1">
      <c r="A53" s="180" t="s">
        <v>211</v>
      </c>
      <c r="B53" s="180"/>
      <c r="C53" s="180"/>
      <c r="D53" s="180"/>
      <c r="E53" s="606"/>
      <c r="F53" s="606"/>
      <c r="G53" s="606"/>
      <c r="H53" s="606"/>
      <c r="I53" s="606">
        <f>SUM(B53:F53)</f>
        <v>0</v>
      </c>
      <c r="J53" s="606"/>
      <c r="K53" s="606"/>
      <c r="L53" s="606"/>
      <c r="M53" s="606"/>
      <c r="N53" s="606"/>
      <c r="O53" s="618">
        <f t="shared" si="8"/>
        <v>0</v>
      </c>
    </row>
    <row r="54" spans="1:23" hidden="1">
      <c r="A54" s="180" t="s">
        <v>133</v>
      </c>
      <c r="B54" s="180"/>
      <c r="C54" s="180"/>
      <c r="D54" s="180"/>
      <c r="E54" s="606"/>
      <c r="F54" s="606"/>
      <c r="G54" s="606"/>
      <c r="H54" s="606"/>
      <c r="I54" s="606">
        <f>SUM(B54:F54)</f>
        <v>0</v>
      </c>
      <c r="J54" s="606"/>
      <c r="K54" s="606"/>
      <c r="L54" s="639">
        <v>12</v>
      </c>
      <c r="M54" s="606"/>
      <c r="N54" s="606"/>
      <c r="O54" s="618">
        <f t="shared" si="8"/>
        <v>12</v>
      </c>
    </row>
    <row r="55" spans="1:23" hidden="1">
      <c r="A55" s="180" t="s">
        <v>212</v>
      </c>
      <c r="B55" s="180"/>
      <c r="C55" s="180"/>
      <c r="D55" s="180"/>
      <c r="E55" s="606"/>
      <c r="F55" s="606"/>
      <c r="G55" s="606"/>
      <c r="H55" s="606"/>
      <c r="I55" s="606">
        <f>SUM(B55:F55)</f>
        <v>0</v>
      </c>
      <c r="J55" s="640">
        <v>162</v>
      </c>
      <c r="K55" s="606"/>
      <c r="L55" s="632">
        <v>97</v>
      </c>
      <c r="M55" s="606"/>
      <c r="N55" s="606"/>
      <c r="O55" s="618">
        <f t="shared" si="8"/>
        <v>259</v>
      </c>
    </row>
    <row r="56" spans="1:23">
      <c r="A56" s="180" t="s">
        <v>213</v>
      </c>
      <c r="B56" s="180"/>
      <c r="C56" s="180"/>
      <c r="D56" s="180"/>
      <c r="E56" s="606">
        <v>50</v>
      </c>
      <c r="F56" s="606"/>
      <c r="G56" s="606"/>
      <c r="H56" s="606"/>
      <c r="I56" s="606">
        <f>SUM(B56:H56)</f>
        <v>50</v>
      </c>
      <c r="J56" s="641">
        <v>69</v>
      </c>
      <c r="K56" s="639"/>
      <c r="L56" s="639"/>
      <c r="M56" s="639"/>
      <c r="N56" s="641"/>
      <c r="O56" s="618">
        <f t="shared" si="8"/>
        <v>119</v>
      </c>
    </row>
    <row r="57" spans="1:23" s="593" customFormat="1">
      <c r="A57" s="616" t="s">
        <v>138</v>
      </c>
      <c r="B57" s="616">
        <v>7</v>
      </c>
      <c r="C57" s="616">
        <v>3</v>
      </c>
      <c r="D57" s="616">
        <v>7</v>
      </c>
      <c r="E57" s="617">
        <v>36</v>
      </c>
      <c r="F57" s="617">
        <f>30+16</f>
        <v>46</v>
      </c>
      <c r="G57" s="618">
        <v>39</v>
      </c>
      <c r="H57" s="618"/>
      <c r="I57" s="606">
        <f>SUM(B57:H57)</f>
        <v>138</v>
      </c>
      <c r="J57" s="642">
        <v>35</v>
      </c>
      <c r="K57" s="642">
        <v>98</v>
      </c>
      <c r="L57" s="642">
        <v>34</v>
      </c>
      <c r="M57" s="642">
        <v>14</v>
      </c>
      <c r="N57" s="642"/>
      <c r="O57" s="623">
        <f t="shared" si="8"/>
        <v>319</v>
      </c>
      <c r="Q57" s="143"/>
      <c r="R57" s="143"/>
      <c r="S57" s="143"/>
      <c r="T57" s="143"/>
      <c r="U57" s="143"/>
      <c r="V57" s="143"/>
      <c r="W57" s="143"/>
    </row>
    <row r="58" spans="1:23">
      <c r="A58" s="174" t="s">
        <v>6</v>
      </c>
      <c r="B58" s="191">
        <f>SUM(B46:B57)</f>
        <v>8</v>
      </c>
      <c r="C58" s="191">
        <f t="shared" ref="C58:N58" si="13">SUM(C46:C57)</f>
        <v>3</v>
      </c>
      <c r="D58" s="191">
        <f t="shared" si="13"/>
        <v>17</v>
      </c>
      <c r="E58" s="191">
        <f t="shared" si="13"/>
        <v>120</v>
      </c>
      <c r="F58" s="191">
        <f t="shared" si="13"/>
        <v>140</v>
      </c>
      <c r="G58" s="191">
        <f t="shared" si="13"/>
        <v>116</v>
      </c>
      <c r="H58" s="191">
        <f t="shared" si="13"/>
        <v>0</v>
      </c>
      <c r="I58" s="191">
        <f t="shared" si="13"/>
        <v>404</v>
      </c>
      <c r="J58" s="191">
        <f t="shared" si="13"/>
        <v>287</v>
      </c>
      <c r="K58" s="191">
        <f t="shared" si="13"/>
        <v>200</v>
      </c>
      <c r="L58" s="191">
        <f t="shared" si="13"/>
        <v>144</v>
      </c>
      <c r="M58" s="191">
        <f t="shared" si="13"/>
        <v>16</v>
      </c>
      <c r="N58" s="191">
        <f t="shared" si="13"/>
        <v>0</v>
      </c>
      <c r="O58" s="630">
        <f t="shared" si="8"/>
        <v>1051</v>
      </c>
      <c r="P58" s="643">
        <f>26+48+23+18+56+38</f>
        <v>209</v>
      </c>
      <c r="Q58" s="660">
        <f>G58</f>
        <v>116</v>
      </c>
      <c r="R58" s="660"/>
      <c r="S58" s="660"/>
      <c r="T58" s="660"/>
      <c r="U58" s="658">
        <f>I58+I82</f>
        <v>1024</v>
      </c>
      <c r="V58" s="658">
        <f>I56+I57+I60</f>
        <v>499</v>
      </c>
    </row>
    <row r="59" spans="1:23">
      <c r="A59" s="619" t="s">
        <v>139</v>
      </c>
      <c r="B59" s="619"/>
      <c r="C59" s="619"/>
      <c r="D59" s="619"/>
      <c r="E59" s="611"/>
      <c r="F59" s="611"/>
      <c r="G59" s="611"/>
      <c r="H59" s="611"/>
      <c r="I59" s="611"/>
      <c r="J59" s="611"/>
      <c r="K59" s="611"/>
      <c r="L59" s="611"/>
      <c r="M59" s="611"/>
      <c r="N59" s="611"/>
      <c r="O59" s="618">
        <f t="shared" si="8"/>
        <v>0</v>
      </c>
    </row>
    <row r="60" spans="1:23" s="593" customFormat="1">
      <c r="A60" s="180" t="s">
        <v>214</v>
      </c>
      <c r="B60" s="180"/>
      <c r="C60" s="180">
        <v>3</v>
      </c>
      <c r="D60" s="180">
        <f>3+12</f>
        <v>15</v>
      </c>
      <c r="E60" s="606">
        <f>42+33</f>
        <v>75</v>
      </c>
      <c r="F60" s="606">
        <f>28+25+14+41+26</f>
        <v>134</v>
      </c>
      <c r="G60" s="606">
        <f>48+36</f>
        <v>84</v>
      </c>
      <c r="H60" s="606"/>
      <c r="I60" s="606">
        <f>SUM(B60:H60)</f>
        <v>311</v>
      </c>
      <c r="J60" s="639">
        <v>69</v>
      </c>
      <c r="K60" s="639"/>
      <c r="L60" s="639"/>
      <c r="M60" s="639"/>
      <c r="N60" s="639"/>
      <c r="O60" s="623">
        <f t="shared" si="8"/>
        <v>380</v>
      </c>
      <c r="Q60" s="143"/>
      <c r="R60" s="143"/>
      <c r="S60" s="143"/>
      <c r="T60" s="143"/>
      <c r="U60" s="664" t="s">
        <v>166</v>
      </c>
      <c r="V60" s="665" t="s">
        <v>215</v>
      </c>
      <c r="W60" s="666"/>
    </row>
    <row r="61" spans="1:23" hidden="1">
      <c r="A61" s="180" t="s">
        <v>216</v>
      </c>
      <c r="B61" s="180"/>
      <c r="C61" s="180"/>
      <c r="D61" s="180"/>
      <c r="E61" s="606"/>
      <c r="F61" s="606"/>
      <c r="G61" s="606"/>
      <c r="H61" s="606"/>
      <c r="I61" s="606"/>
      <c r="J61" s="641"/>
      <c r="K61" s="639">
        <v>126</v>
      </c>
      <c r="L61" s="639">
        <v>48</v>
      </c>
      <c r="M61" s="639">
        <v>49</v>
      </c>
      <c r="N61" s="641"/>
      <c r="O61" s="618">
        <f t="shared" si="8"/>
        <v>223</v>
      </c>
      <c r="U61" s="667"/>
      <c r="V61" s="668"/>
      <c r="W61" s="669"/>
    </row>
    <row r="62" spans="1:23" hidden="1">
      <c r="A62" s="180" t="s">
        <v>217</v>
      </c>
      <c r="B62" s="180"/>
      <c r="C62" s="180"/>
      <c r="D62" s="180"/>
      <c r="E62" s="606"/>
      <c r="F62" s="606"/>
      <c r="G62" s="606"/>
      <c r="H62" s="606"/>
      <c r="I62" s="606"/>
      <c r="J62" s="606"/>
      <c r="K62" s="639"/>
      <c r="L62" s="606"/>
      <c r="M62" s="606"/>
      <c r="N62" s="606"/>
      <c r="O62" s="618">
        <f t="shared" si="8"/>
        <v>0</v>
      </c>
      <c r="P62" s="644" t="s">
        <v>218</v>
      </c>
      <c r="U62" s="667"/>
      <c r="V62" s="668"/>
      <c r="W62" s="669"/>
    </row>
    <row r="63" spans="1:23">
      <c r="A63" s="180" t="s">
        <v>219</v>
      </c>
      <c r="B63" s="180">
        <f>1</f>
        <v>1</v>
      </c>
      <c r="C63" s="180"/>
      <c r="D63" s="180"/>
      <c r="E63" s="606"/>
      <c r="F63" s="606"/>
      <c r="G63" s="606"/>
      <c r="H63" s="606"/>
      <c r="I63" s="606">
        <f>SUM(B63:H63)</f>
        <v>1</v>
      </c>
      <c r="J63" s="641">
        <v>69</v>
      </c>
      <c r="K63" s="639"/>
      <c r="L63" s="639"/>
      <c r="M63" s="639"/>
      <c r="N63" s="641"/>
      <c r="O63" s="618">
        <f t="shared" si="8"/>
        <v>70</v>
      </c>
      <c r="U63" s="670">
        <f>I60+I63</f>
        <v>312</v>
      </c>
      <c r="V63" s="671">
        <f>I64+I66+I69+I76+I77+I79+I80</f>
        <v>242</v>
      </c>
      <c r="W63" s="672"/>
    </row>
    <row r="64" spans="1:23" s="593" customFormat="1">
      <c r="A64" s="180" t="s">
        <v>236</v>
      </c>
      <c r="B64" s="180"/>
      <c r="C64" s="180"/>
      <c r="D64" s="180"/>
      <c r="E64" s="606"/>
      <c r="F64" s="606">
        <v>3</v>
      </c>
      <c r="G64" s="606">
        <v>19</v>
      </c>
      <c r="H64" s="606"/>
      <c r="I64" s="606">
        <f>SUM(B64:H65)</f>
        <v>22</v>
      </c>
      <c r="J64" s="632"/>
      <c r="K64" s="632"/>
      <c r="L64" s="632"/>
      <c r="M64" s="632"/>
      <c r="N64" s="632"/>
      <c r="O64" s="623">
        <f t="shared" si="8"/>
        <v>22</v>
      </c>
      <c r="Q64" s="143"/>
      <c r="R64" s="143"/>
      <c r="S64" s="143"/>
      <c r="T64" s="143"/>
      <c r="U64" s="673"/>
      <c r="V64" s="143"/>
      <c r="W64" s="143"/>
    </row>
    <row r="65" spans="1:24" hidden="1">
      <c r="A65" s="180" t="s">
        <v>221</v>
      </c>
      <c r="B65" s="180"/>
      <c r="C65" s="180"/>
      <c r="D65" s="180"/>
      <c r="E65" s="606"/>
      <c r="F65" s="606"/>
      <c r="G65" s="606"/>
      <c r="H65" s="606"/>
      <c r="I65" s="606">
        <f>SUM(B65:G65)</f>
        <v>0</v>
      </c>
      <c r="J65" s="641">
        <v>128</v>
      </c>
      <c r="K65" s="639">
        <v>122</v>
      </c>
      <c r="L65" s="641">
        <v>11</v>
      </c>
      <c r="M65" s="606">
        <v>7</v>
      </c>
      <c r="N65" s="641"/>
      <c r="O65" s="618">
        <f t="shared" si="8"/>
        <v>268</v>
      </c>
      <c r="U65" s="658"/>
      <c r="X65" s="143">
        <f>2498+60</f>
        <v>2558</v>
      </c>
    </row>
    <row r="66" spans="1:24" s="593" customFormat="1">
      <c r="A66" s="180" t="s">
        <v>222</v>
      </c>
      <c r="B66" s="180"/>
      <c r="C66" s="180"/>
      <c r="D66" s="180"/>
      <c r="E66" s="606"/>
      <c r="F66" s="606"/>
      <c r="G66" s="606"/>
      <c r="H66" s="606"/>
      <c r="I66" s="606">
        <f>SUM(B66:H66)</f>
        <v>0</v>
      </c>
      <c r="J66" s="639"/>
      <c r="K66" s="639"/>
      <c r="L66" s="639"/>
      <c r="M66" s="632"/>
      <c r="N66" s="632"/>
      <c r="O66" s="623">
        <f t="shared" si="8"/>
        <v>0</v>
      </c>
      <c r="Q66" s="143"/>
      <c r="R66" s="143"/>
      <c r="S66" s="143"/>
      <c r="T66" s="143"/>
      <c r="U66" s="143"/>
      <c r="V66" s="143"/>
      <c r="W66" s="143"/>
    </row>
    <row r="67" spans="1:24" hidden="1">
      <c r="A67" s="180" t="s">
        <v>223</v>
      </c>
      <c r="B67" s="180"/>
      <c r="C67" s="180"/>
      <c r="D67" s="180"/>
      <c r="E67" s="606"/>
      <c r="F67" s="606"/>
      <c r="G67" s="606"/>
      <c r="H67" s="606"/>
      <c r="I67" s="606">
        <f t="shared" ref="I67:I75" si="14">SUM(B67:F67)</f>
        <v>0</v>
      </c>
      <c r="J67" s="632"/>
      <c r="K67" s="639"/>
      <c r="L67" s="639"/>
      <c r="M67" s="606"/>
      <c r="N67" s="606"/>
      <c r="O67" s="618">
        <f t="shared" si="8"/>
        <v>0</v>
      </c>
      <c r="P67" s="644" t="s">
        <v>218</v>
      </c>
    </row>
    <row r="68" spans="1:24" s="593" customFormat="1">
      <c r="A68" s="180" t="s">
        <v>224</v>
      </c>
      <c r="B68" s="180"/>
      <c r="C68" s="180"/>
      <c r="D68" s="180"/>
      <c r="E68" s="606">
        <v>3</v>
      </c>
      <c r="F68" s="606">
        <f>15+5</f>
        <v>20</v>
      </c>
      <c r="G68" s="606">
        <v>43</v>
      </c>
      <c r="H68" s="606"/>
      <c r="I68" s="606">
        <f>SUM(B68:H68)</f>
        <v>66</v>
      </c>
      <c r="J68" s="639"/>
      <c r="K68" s="639"/>
      <c r="L68" s="639"/>
      <c r="M68" s="632"/>
      <c r="N68" s="632"/>
      <c r="O68" s="623">
        <f t="shared" ref="O68" si="15">SUM(I68:N68)</f>
        <v>66</v>
      </c>
      <c r="Q68" s="143"/>
      <c r="R68" s="143"/>
      <c r="S68" s="143"/>
      <c r="T68" s="143"/>
      <c r="U68" s="143"/>
      <c r="V68" s="143"/>
      <c r="W68" s="143"/>
    </row>
    <row r="69" spans="1:24" s="593" customFormat="1">
      <c r="A69" s="180" t="s">
        <v>237</v>
      </c>
      <c r="B69" s="180"/>
      <c r="C69" s="180"/>
      <c r="D69" s="180">
        <v>3</v>
      </c>
      <c r="E69" s="606">
        <f>3+1+1</f>
        <v>5</v>
      </c>
      <c r="F69" s="606">
        <f>43+20</f>
        <v>63</v>
      </c>
      <c r="G69" s="606">
        <f>28+27</f>
        <v>55</v>
      </c>
      <c r="H69" s="606"/>
      <c r="I69" s="606">
        <f>SUM(B69:H69)</f>
        <v>126</v>
      </c>
      <c r="J69" s="639"/>
      <c r="K69" s="639"/>
      <c r="L69" s="632"/>
      <c r="M69" s="639"/>
      <c r="N69" s="632"/>
      <c r="O69" s="623">
        <f t="shared" si="8"/>
        <v>126</v>
      </c>
      <c r="Q69" s="143"/>
      <c r="R69" s="143"/>
      <c r="S69" s="143"/>
      <c r="T69" s="143"/>
      <c r="U69" s="143"/>
      <c r="V69" s="143"/>
      <c r="W69" s="143"/>
    </row>
    <row r="70" spans="1:24" hidden="1">
      <c r="A70" s="180" t="s">
        <v>226</v>
      </c>
      <c r="B70" s="180"/>
      <c r="C70" s="180"/>
      <c r="D70" s="180"/>
      <c r="E70" s="606"/>
      <c r="F70" s="606"/>
      <c r="G70" s="606"/>
      <c r="H70" s="606"/>
      <c r="I70" s="606">
        <f t="shared" si="14"/>
        <v>0</v>
      </c>
      <c r="J70" s="641"/>
      <c r="K70" s="606"/>
      <c r="L70" s="606"/>
      <c r="M70" s="606"/>
      <c r="N70" s="606"/>
      <c r="O70" s="618">
        <f t="shared" si="8"/>
        <v>0</v>
      </c>
    </row>
    <row r="71" spans="1:24" hidden="1">
      <c r="A71" s="180" t="s">
        <v>227</v>
      </c>
      <c r="B71" s="180"/>
      <c r="C71" s="180"/>
      <c r="D71" s="180"/>
      <c r="E71" s="606"/>
      <c r="F71" s="606"/>
      <c r="G71" s="606"/>
      <c r="H71" s="606"/>
      <c r="I71" s="606">
        <f t="shared" si="14"/>
        <v>0</v>
      </c>
      <c r="J71" s="641"/>
      <c r="K71" s="606"/>
      <c r="L71" s="606"/>
      <c r="M71" s="606"/>
      <c r="N71" s="606"/>
      <c r="O71" s="618">
        <f t="shared" si="8"/>
        <v>0</v>
      </c>
    </row>
    <row r="72" spans="1:24" hidden="1">
      <c r="A72" s="180" t="s">
        <v>143</v>
      </c>
      <c r="B72" s="180"/>
      <c r="C72" s="180"/>
      <c r="D72" s="180"/>
      <c r="E72" s="606"/>
      <c r="F72" s="606"/>
      <c r="G72" s="606"/>
      <c r="H72" s="606"/>
      <c r="I72" s="606">
        <f t="shared" si="14"/>
        <v>0</v>
      </c>
      <c r="J72" s="606"/>
      <c r="K72" s="606"/>
      <c r="L72" s="606"/>
      <c r="M72" s="606"/>
      <c r="N72" s="606"/>
      <c r="O72" s="618">
        <f t="shared" si="8"/>
        <v>0</v>
      </c>
    </row>
    <row r="73" spans="1:24" hidden="1">
      <c r="A73" s="180" t="s">
        <v>144</v>
      </c>
      <c r="B73" s="180"/>
      <c r="C73" s="180"/>
      <c r="D73" s="180"/>
      <c r="E73" s="606"/>
      <c r="F73" s="606"/>
      <c r="G73" s="606"/>
      <c r="H73" s="606"/>
      <c r="I73" s="606">
        <f t="shared" si="14"/>
        <v>0</v>
      </c>
      <c r="J73" s="606"/>
      <c r="K73" s="606"/>
      <c r="L73" s="606"/>
      <c r="M73" s="606"/>
      <c r="N73" s="606"/>
      <c r="O73" s="618">
        <f t="shared" si="8"/>
        <v>0</v>
      </c>
    </row>
    <row r="74" spans="1:24" hidden="1">
      <c r="A74" s="180" t="s">
        <v>145</v>
      </c>
      <c r="B74" s="180"/>
      <c r="C74" s="180"/>
      <c r="D74" s="180"/>
      <c r="E74" s="606"/>
      <c r="F74" s="606"/>
      <c r="G74" s="606"/>
      <c r="H74" s="606"/>
      <c r="I74" s="606">
        <f t="shared" si="14"/>
        <v>0</v>
      </c>
      <c r="J74" s="606"/>
      <c r="K74" s="641">
        <v>26</v>
      </c>
      <c r="L74" s="641">
        <v>1</v>
      </c>
      <c r="M74" s="606"/>
      <c r="N74" s="606"/>
      <c r="O74" s="618">
        <f t="shared" si="8"/>
        <v>27</v>
      </c>
    </row>
    <row r="75" spans="1:24" hidden="1">
      <c r="A75" s="180" t="s">
        <v>147</v>
      </c>
      <c r="B75" s="180"/>
      <c r="C75" s="180"/>
      <c r="D75" s="180"/>
      <c r="E75" s="606"/>
      <c r="F75" s="606"/>
      <c r="G75" s="606"/>
      <c r="H75" s="606"/>
      <c r="I75" s="606">
        <f t="shared" si="14"/>
        <v>0</v>
      </c>
      <c r="J75" s="606">
        <v>85</v>
      </c>
      <c r="K75" s="606">
        <v>66</v>
      </c>
      <c r="L75" s="641">
        <v>14</v>
      </c>
      <c r="M75" s="606">
        <v>7</v>
      </c>
      <c r="N75" s="606"/>
      <c r="O75" s="618">
        <f t="shared" si="8"/>
        <v>172</v>
      </c>
    </row>
    <row r="76" spans="1:24" hidden="1">
      <c r="A76" s="180" t="s">
        <v>225</v>
      </c>
      <c r="B76" s="180"/>
      <c r="C76" s="180"/>
      <c r="D76" s="180"/>
      <c r="E76" s="606"/>
      <c r="F76" s="606"/>
      <c r="G76" s="606"/>
      <c r="H76" s="606"/>
      <c r="I76" s="606">
        <f>SUM(B76:G76)</f>
        <v>0</v>
      </c>
      <c r="J76" s="641"/>
      <c r="K76" s="639"/>
      <c r="L76" s="606"/>
      <c r="M76" s="641"/>
      <c r="N76" s="606"/>
      <c r="O76" s="618">
        <f t="shared" si="8"/>
        <v>0</v>
      </c>
    </row>
    <row r="77" spans="1:24" hidden="1">
      <c r="A77" s="180" t="s">
        <v>220</v>
      </c>
      <c r="B77" s="180"/>
      <c r="C77" s="180"/>
      <c r="D77" s="180"/>
      <c r="E77" s="606"/>
      <c r="F77" s="606"/>
      <c r="G77" s="606"/>
      <c r="H77" s="606"/>
      <c r="I77" s="606">
        <f>SUM(B77:G77)</f>
        <v>0</v>
      </c>
      <c r="J77" s="606"/>
      <c r="K77" s="606"/>
      <c r="L77" s="606"/>
      <c r="M77" s="606"/>
      <c r="N77" s="606"/>
      <c r="O77" s="618">
        <f t="shared" si="8"/>
        <v>0</v>
      </c>
    </row>
    <row r="78" spans="1:24" s="593" customFormat="1">
      <c r="A78" s="180" t="s">
        <v>228</v>
      </c>
      <c r="B78" s="180"/>
      <c r="C78" s="180"/>
      <c r="D78" s="180"/>
      <c r="E78" s="606"/>
      <c r="F78" s="606"/>
      <c r="G78" s="606"/>
      <c r="H78" s="606"/>
      <c r="I78" s="606">
        <f>SUM(B78:H78)</f>
        <v>0</v>
      </c>
      <c r="J78" s="639">
        <v>170</v>
      </c>
      <c r="K78" s="639">
        <v>102</v>
      </c>
      <c r="L78" s="639">
        <v>9</v>
      </c>
      <c r="M78" s="632">
        <v>5</v>
      </c>
      <c r="N78" s="632"/>
      <c r="O78" s="623">
        <f t="shared" si="8"/>
        <v>286</v>
      </c>
      <c r="Q78" s="143"/>
      <c r="R78" s="143"/>
      <c r="S78" s="143"/>
      <c r="T78" s="143"/>
      <c r="U78" s="658">
        <f>I65</f>
        <v>0</v>
      </c>
      <c r="V78" s="658">
        <f>I59</f>
        <v>0</v>
      </c>
      <c r="W78" s="143"/>
    </row>
    <row r="79" spans="1:24" s="593" customFormat="1">
      <c r="A79" s="180" t="s">
        <v>229</v>
      </c>
      <c r="B79" s="180"/>
      <c r="C79" s="180"/>
      <c r="D79" s="180">
        <v>3</v>
      </c>
      <c r="E79" s="606">
        <v>4</v>
      </c>
      <c r="F79" s="606">
        <f>11+5+1</f>
        <v>17</v>
      </c>
      <c r="G79" s="606">
        <f>36+34</f>
        <v>70</v>
      </c>
      <c r="H79" s="606"/>
      <c r="I79" s="606">
        <f>SUM(B79:H79)</f>
        <v>94</v>
      </c>
      <c r="J79" s="639">
        <v>170</v>
      </c>
      <c r="K79" s="639">
        <v>102</v>
      </c>
      <c r="L79" s="639">
        <v>9</v>
      </c>
      <c r="M79" s="632">
        <v>5</v>
      </c>
      <c r="N79" s="632"/>
      <c r="O79" s="623">
        <f t="shared" si="8"/>
        <v>380</v>
      </c>
      <c r="Q79" s="143"/>
      <c r="R79" s="143"/>
      <c r="S79" s="143"/>
      <c r="T79" s="143"/>
      <c r="U79" s="658">
        <f>I66</f>
        <v>0</v>
      </c>
      <c r="V79" s="658">
        <f>I60</f>
        <v>311</v>
      </c>
      <c r="W79" s="143"/>
    </row>
    <row r="80" spans="1:24" hidden="1">
      <c r="A80" s="180" t="s">
        <v>230</v>
      </c>
      <c r="B80" s="180"/>
      <c r="C80" s="180"/>
      <c r="D80" s="180"/>
      <c r="E80" s="606"/>
      <c r="F80" s="606"/>
      <c r="G80" s="606"/>
      <c r="H80" s="606"/>
      <c r="I80" s="606">
        <f>SUM(B80:G80)</f>
        <v>0</v>
      </c>
      <c r="J80" s="606"/>
      <c r="K80" s="606"/>
      <c r="L80" s="606"/>
      <c r="M80" s="606"/>
      <c r="N80" s="606"/>
      <c r="O80" s="618">
        <f t="shared" si="8"/>
        <v>0</v>
      </c>
    </row>
    <row r="81" spans="1:23" hidden="1">
      <c r="A81" s="616" t="s">
        <v>156</v>
      </c>
      <c r="B81" s="675"/>
      <c r="C81" s="675"/>
      <c r="D81" s="675"/>
      <c r="E81" s="618"/>
      <c r="F81" s="618"/>
      <c r="G81" s="618"/>
      <c r="H81" s="618"/>
      <c r="I81" s="618"/>
      <c r="J81" s="618"/>
      <c r="K81" s="618"/>
      <c r="L81" s="618"/>
      <c r="M81" s="618"/>
      <c r="N81" s="618"/>
      <c r="O81" s="618">
        <f t="shared" si="8"/>
        <v>0</v>
      </c>
    </row>
    <row r="82" spans="1:23">
      <c r="A82" s="174" t="s">
        <v>6</v>
      </c>
      <c r="B82" s="191">
        <f>SUM(B60:B81)</f>
        <v>1</v>
      </c>
      <c r="C82" s="191">
        <f>SUM(C60:C81)</f>
        <v>3</v>
      </c>
      <c r="D82" s="191">
        <f>SUM(D60:D81)</f>
        <v>21</v>
      </c>
      <c r="E82" s="191">
        <f>SUM(E60:E81)</f>
        <v>87</v>
      </c>
      <c r="F82" s="191">
        <f>SUM(F60:F81)</f>
        <v>237</v>
      </c>
      <c r="G82" s="191">
        <f t="shared" ref="G82:N82" si="16">SUM(G60:G81)</f>
        <v>271</v>
      </c>
      <c r="H82" s="191">
        <f t="shared" si="16"/>
        <v>0</v>
      </c>
      <c r="I82" s="191">
        <f t="shared" si="16"/>
        <v>620</v>
      </c>
      <c r="J82" s="191">
        <f t="shared" si="16"/>
        <v>691</v>
      </c>
      <c r="K82" s="191">
        <f t="shared" si="16"/>
        <v>544</v>
      </c>
      <c r="L82" s="191">
        <f t="shared" si="16"/>
        <v>92</v>
      </c>
      <c r="M82" s="191">
        <f t="shared" si="16"/>
        <v>73</v>
      </c>
      <c r="N82" s="191">
        <f t="shared" si="16"/>
        <v>0</v>
      </c>
      <c r="O82" s="679">
        <f t="shared" si="8"/>
        <v>2020</v>
      </c>
      <c r="Q82" s="660">
        <f>G82</f>
        <v>271</v>
      </c>
      <c r="R82" s="660"/>
      <c r="S82" s="660"/>
      <c r="U82" s="658">
        <f>I82-(U79+V79)</f>
        <v>309</v>
      </c>
      <c r="V82" s="658">
        <f>I60</f>
        <v>311</v>
      </c>
    </row>
    <row r="83" spans="1:23">
      <c r="A83" s="191" t="s">
        <v>159</v>
      </c>
      <c r="B83" s="676">
        <f>SUM(B20,B36,B44,B58,B82,B40)</f>
        <v>12</v>
      </c>
      <c r="C83" s="676">
        <f t="shared" ref="C83:I83" si="17">SUM(C20,C36,C44,C58,C82,C40)</f>
        <v>17</v>
      </c>
      <c r="D83" s="676">
        <f t="shared" si="17"/>
        <v>301</v>
      </c>
      <c r="E83" s="676">
        <f t="shared" si="17"/>
        <v>644</v>
      </c>
      <c r="F83" s="676">
        <f t="shared" si="17"/>
        <v>534</v>
      </c>
      <c r="G83" s="676">
        <f t="shared" si="17"/>
        <v>492</v>
      </c>
      <c r="H83" s="676">
        <f t="shared" si="17"/>
        <v>0</v>
      </c>
      <c r="I83" s="676">
        <f t="shared" si="17"/>
        <v>2000</v>
      </c>
      <c r="J83" s="676">
        <f t="shared" ref="J83:O83" si="18">SUM(J20,J36,J44,J58,J82)</f>
        <v>1490</v>
      </c>
      <c r="K83" s="676">
        <f t="shared" si="18"/>
        <v>1336</v>
      </c>
      <c r="L83" s="676">
        <f t="shared" si="18"/>
        <v>294</v>
      </c>
      <c r="M83" s="676">
        <f t="shared" si="18"/>
        <v>170</v>
      </c>
      <c r="N83" s="676">
        <f t="shared" si="18"/>
        <v>0</v>
      </c>
      <c r="O83" s="676">
        <f t="shared" si="18"/>
        <v>5254</v>
      </c>
      <c r="P83" s="143">
        <v>3678</v>
      </c>
      <c r="Q83" s="680">
        <f>SUM(Q6:Q82)</f>
        <v>492</v>
      </c>
      <c r="R83" s="681"/>
      <c r="S83" s="681"/>
      <c r="V83" s="658">
        <f>E83+11+5</f>
        <v>660</v>
      </c>
      <c r="W83" s="658">
        <f>I83+16</f>
        <v>2016</v>
      </c>
    </row>
    <row r="84" spans="1:23">
      <c r="Q84" s="143">
        <f>3554-329</f>
        <v>3225</v>
      </c>
    </row>
    <row r="85" spans="1:23">
      <c r="A85" s="194" t="s">
        <v>171</v>
      </c>
      <c r="F85" s="677">
        <f>F83+บัณฑิตศึกษา!F41</f>
        <v>655</v>
      </c>
      <c r="G85" s="677"/>
      <c r="H85" s="677"/>
      <c r="I85" s="153">
        <f>I83+บัณฑิตศึกษา!I41</f>
        <v>3040</v>
      </c>
      <c r="O85" s="658">
        <v>28</v>
      </c>
    </row>
    <row r="86" spans="1:23">
      <c r="F86" s="658">
        <f>B83+E83+F83</f>
        <v>1190</v>
      </c>
    </row>
    <row r="87" spans="1:23">
      <c r="I87" s="658">
        <f>I83+บัณฑิตศึกษา!I41</f>
        <v>3040</v>
      </c>
    </row>
    <row r="89" spans="1:23">
      <c r="A89" s="678" t="s">
        <v>165</v>
      </c>
      <c r="B89" s="658">
        <f>F20</f>
        <v>44</v>
      </c>
      <c r="I89" s="143">
        <v>1436</v>
      </c>
      <c r="U89" s="143">
        <f>3606+153</f>
        <v>3759</v>
      </c>
    </row>
    <row r="90" spans="1:23">
      <c r="A90" s="678" t="s">
        <v>166</v>
      </c>
      <c r="B90" s="658">
        <f>(F36+F58+F82)-B91</f>
        <v>465</v>
      </c>
    </row>
    <row r="91" spans="1:23">
      <c r="A91" s="678" t="s">
        <v>167</v>
      </c>
      <c r="B91" s="143">
        <f>U64</f>
        <v>0</v>
      </c>
      <c r="U91" s="658">
        <f>I83-U89</f>
        <v>-1759</v>
      </c>
    </row>
    <row r="92" spans="1:23">
      <c r="A92" s="678" t="s">
        <v>231</v>
      </c>
      <c r="B92" s="143">
        <v>0</v>
      </c>
      <c r="I92" s="658">
        <f>I83-67</f>
        <v>1933</v>
      </c>
    </row>
    <row r="93" spans="1:23">
      <c r="A93" s="678" t="s">
        <v>168</v>
      </c>
      <c r="B93" s="143">
        <f>บัณฑิตศึกษา!F44</f>
        <v>0</v>
      </c>
    </row>
    <row r="94" spans="1:23">
      <c r="A94" s="678" t="s">
        <v>169</v>
      </c>
      <c r="B94" s="143">
        <f>บัณฑิตศึกษา!F45</f>
        <v>0</v>
      </c>
    </row>
    <row r="95" spans="1:23">
      <c r="B95" s="658">
        <f>SUM(B89:B94)</f>
        <v>509</v>
      </c>
    </row>
    <row r="96" spans="1:23">
      <c r="A96" s="673"/>
      <c r="B96" s="673"/>
      <c r="C96" s="673"/>
    </row>
    <row r="99" spans="1:4">
      <c r="B99" s="143" t="s">
        <v>164</v>
      </c>
      <c r="C99" s="143" t="s">
        <v>163</v>
      </c>
    </row>
    <row r="100" spans="1:4">
      <c r="A100" s="678" t="s">
        <v>232</v>
      </c>
    </row>
    <row r="101" spans="1:4">
      <c r="A101" s="678" t="s">
        <v>23</v>
      </c>
    </row>
    <row r="102" spans="1:4">
      <c r="A102" s="678" t="s">
        <v>233</v>
      </c>
      <c r="B102" s="658">
        <f>Q44+Q40+Q36</f>
        <v>105</v>
      </c>
      <c r="C102" s="658">
        <f>Q82+Q58</f>
        <v>387</v>
      </c>
      <c r="D102" s="658">
        <f>SUM(B102:C102)</f>
        <v>492</v>
      </c>
    </row>
    <row r="103" spans="1:4">
      <c r="A103" s="678" t="s">
        <v>234</v>
      </c>
    </row>
    <row r="104" spans="1:4">
      <c r="A104" s="678" t="s">
        <v>44</v>
      </c>
    </row>
    <row r="105" spans="1:4">
      <c r="A105" s="678" t="s">
        <v>6</v>
      </c>
    </row>
  </sheetData>
  <mergeCells count="10">
    <mergeCell ref="A1:P1"/>
    <mergeCell ref="B2:H2"/>
    <mergeCell ref="Q6:W6"/>
    <mergeCell ref="R8:V8"/>
    <mergeCell ref="R23:T23"/>
    <mergeCell ref="A3:A4"/>
    <mergeCell ref="I2:I3"/>
    <mergeCell ref="O3:O4"/>
    <mergeCell ref="Q8:Q9"/>
    <mergeCell ref="W8:W9"/>
  </mergeCells>
  <printOptions horizontalCentered="1"/>
  <pageMargins left="0.62992125984252001" right="0.59055118110236204" top="0.21" bottom="0" header="0.56000000000000005" footer="0.31496062992126"/>
  <pageSetup paperSize="9" scale="92" orientation="portrait" r:id="rId1"/>
  <headerFooter alignWithMargins="0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zoomScaleSheetLayoutView="90" workbookViewId="0">
      <pane ySplit="4" topLeftCell="A106" activePane="bottomLeft" state="frozen"/>
      <selection pane="bottomLeft" activeCell="R55" sqref="R55"/>
    </sheetView>
  </sheetViews>
  <sheetFormatPr defaultColWidth="9.140625" defaultRowHeight="21" customHeight="1"/>
  <cols>
    <col min="1" max="1" width="41.7109375" style="47" customWidth="1"/>
    <col min="2" max="3" width="7.42578125" style="47" customWidth="1"/>
    <col min="4" max="4" width="7.42578125" style="320" customWidth="1"/>
    <col min="5" max="7" width="7.42578125" style="106" customWidth="1"/>
    <col min="8" max="8" width="7.42578125" style="106" hidden="1" customWidth="1"/>
    <col min="9" max="9" width="9.7109375" style="106" customWidth="1"/>
    <col min="10" max="11" width="10.85546875" style="106" hidden="1" customWidth="1"/>
    <col min="12" max="12" width="10" style="106" hidden="1" customWidth="1"/>
    <col min="13" max="14" width="10.85546875" style="106" hidden="1" customWidth="1"/>
    <col min="15" max="15" width="10.85546875" style="106" customWidth="1"/>
    <col min="16" max="16" width="28.140625" style="105" customWidth="1"/>
    <col min="17" max="24" width="10.85546875" style="106" customWidth="1"/>
    <col min="25" max="16384" width="9.140625" style="47"/>
  </cols>
  <sheetData>
    <row r="1" spans="1:29" ht="21" customHeight="1">
      <c r="A1" s="792" t="s">
        <v>238</v>
      </c>
      <c r="B1" s="792"/>
      <c r="C1" s="792"/>
      <c r="D1" s="792"/>
      <c r="E1" s="792"/>
      <c r="F1" s="792"/>
      <c r="G1" s="792"/>
      <c r="H1" s="792"/>
      <c r="I1" s="792"/>
      <c r="J1" s="108"/>
      <c r="K1" s="108"/>
      <c r="L1" s="108"/>
      <c r="M1" s="108"/>
      <c r="N1" s="108"/>
      <c r="O1" s="108"/>
      <c r="P1" s="289"/>
      <c r="Q1" s="108"/>
      <c r="R1" s="108"/>
      <c r="S1" s="108"/>
      <c r="T1" s="108"/>
      <c r="U1" s="108"/>
      <c r="V1" s="108"/>
      <c r="W1" s="108"/>
      <c r="X1" s="108"/>
    </row>
    <row r="2" spans="1:29" ht="21" customHeight="1">
      <c r="A2" s="793"/>
      <c r="B2" s="793"/>
      <c r="C2" s="793"/>
      <c r="D2" s="793"/>
      <c r="E2" s="793"/>
      <c r="F2" s="793"/>
      <c r="G2" s="793"/>
      <c r="H2" s="793"/>
      <c r="I2" s="793"/>
      <c r="J2" s="154"/>
      <c r="K2" s="154"/>
      <c r="L2" s="154"/>
      <c r="M2" s="154"/>
      <c r="N2" s="154"/>
      <c r="O2" s="154"/>
      <c r="P2" s="837" t="s">
        <v>239</v>
      </c>
      <c r="Q2" s="837"/>
      <c r="R2" s="837"/>
      <c r="S2" s="837"/>
      <c r="T2" s="837"/>
      <c r="U2" s="837"/>
      <c r="V2" s="837"/>
      <c r="W2" s="154"/>
      <c r="X2" s="154"/>
    </row>
    <row r="3" spans="1:29" ht="21" customHeight="1">
      <c r="A3" s="803" t="s">
        <v>31</v>
      </c>
      <c r="B3" s="770" t="s">
        <v>240</v>
      </c>
      <c r="C3" s="770" t="s">
        <v>241</v>
      </c>
      <c r="D3" s="519">
        <v>2557</v>
      </c>
      <c r="E3" s="519">
        <v>2556</v>
      </c>
      <c r="F3" s="519">
        <v>2555</v>
      </c>
      <c r="G3" s="519">
        <v>2554</v>
      </c>
      <c r="H3" s="519">
        <v>2553</v>
      </c>
      <c r="I3" s="771" t="s">
        <v>6</v>
      </c>
      <c r="J3" s="108"/>
      <c r="K3" s="108"/>
      <c r="L3" s="108"/>
      <c r="M3" s="108"/>
      <c r="N3" s="108"/>
      <c r="O3" s="108"/>
      <c r="P3" s="838" t="s">
        <v>242</v>
      </c>
      <c r="Q3" s="838"/>
      <c r="R3" s="838"/>
      <c r="S3" s="838"/>
      <c r="T3" s="838"/>
      <c r="U3" s="838"/>
      <c r="V3" s="838"/>
      <c r="W3" s="108"/>
      <c r="X3" s="108"/>
    </row>
    <row r="4" spans="1:29" ht="21" customHeight="1">
      <c r="A4" s="804"/>
      <c r="B4" s="520"/>
      <c r="C4" s="521"/>
      <c r="D4" s="522"/>
      <c r="E4" s="522"/>
      <c r="F4" s="522"/>
      <c r="G4" s="522"/>
      <c r="H4" s="522"/>
      <c r="I4" s="557"/>
      <c r="J4" s="400"/>
      <c r="K4" s="400"/>
      <c r="L4" s="400"/>
      <c r="M4" s="400"/>
      <c r="N4" s="400"/>
      <c r="O4" s="400"/>
      <c r="P4" s="856" t="s">
        <v>38</v>
      </c>
      <c r="Q4" s="839" t="s">
        <v>39</v>
      </c>
      <c r="R4" s="839"/>
      <c r="S4" s="839"/>
      <c r="T4" s="839"/>
      <c r="U4" s="839"/>
      <c r="V4" s="840" t="s">
        <v>6</v>
      </c>
      <c r="W4" s="400"/>
      <c r="X4" s="400"/>
    </row>
    <row r="5" spans="1:29" ht="21" customHeight="1">
      <c r="A5" s="215" t="s">
        <v>40</v>
      </c>
      <c r="B5" s="523">
        <f>SUM(B20,B23,B29)</f>
        <v>321</v>
      </c>
      <c r="C5" s="523">
        <f t="shared" ref="C5:I5" si="0">SUM(C20,C23,C29)</f>
        <v>515</v>
      </c>
      <c r="D5" s="523">
        <f t="shared" si="0"/>
        <v>539</v>
      </c>
      <c r="E5" s="523">
        <f t="shared" si="0"/>
        <v>623</v>
      </c>
      <c r="F5" s="523">
        <f t="shared" si="0"/>
        <v>519</v>
      </c>
      <c r="G5" s="523">
        <f t="shared" ref="G5" si="1">SUM(G20,G23,G29)</f>
        <v>2</v>
      </c>
      <c r="H5" s="523">
        <f t="shared" si="0"/>
        <v>0</v>
      </c>
      <c r="I5" s="523">
        <f t="shared" si="0"/>
        <v>2519</v>
      </c>
      <c r="J5" s="403"/>
      <c r="K5" s="403"/>
      <c r="L5" s="403"/>
      <c r="M5" s="403"/>
      <c r="N5" s="403"/>
      <c r="O5" s="403"/>
      <c r="P5" s="857"/>
      <c r="Q5" s="565" t="s">
        <v>41</v>
      </c>
      <c r="R5" s="564" t="s">
        <v>42</v>
      </c>
      <c r="S5" s="564" t="s">
        <v>43</v>
      </c>
      <c r="T5" s="564" t="s">
        <v>25</v>
      </c>
      <c r="U5" s="564" t="s">
        <v>44</v>
      </c>
      <c r="V5" s="841"/>
      <c r="W5" s="403"/>
      <c r="X5" s="403"/>
      <c r="AA5" s="301">
        <f>I5</f>
        <v>2519</v>
      </c>
    </row>
    <row r="6" spans="1:29" ht="21" customHeight="1">
      <c r="A6" s="219" t="s">
        <v>45</v>
      </c>
      <c r="B6" s="219">
        <v>27</v>
      </c>
      <c r="C6" s="524">
        <v>39</v>
      </c>
      <c r="D6" s="525">
        <v>52</v>
      </c>
      <c r="E6" s="526">
        <v>55</v>
      </c>
      <c r="F6" s="526">
        <v>54</v>
      </c>
      <c r="G6" s="526"/>
      <c r="H6" s="527"/>
      <c r="I6" s="526">
        <f>SUM(B6:H6)</f>
        <v>227</v>
      </c>
      <c r="J6" s="123"/>
      <c r="K6" s="123"/>
      <c r="L6" s="133">
        <f t="shared" ref="L6:L19" si="2">SUM(D6:H6)</f>
        <v>161</v>
      </c>
      <c r="M6" s="123"/>
      <c r="N6" s="123"/>
      <c r="O6" s="123">
        <f t="shared" ref="O6:O19" si="3">C6+D6+E6+F6+G6</f>
        <v>200</v>
      </c>
      <c r="P6" s="558" t="s">
        <v>46</v>
      </c>
      <c r="Q6" s="566"/>
      <c r="R6" s="566"/>
      <c r="S6" s="566">
        <f>I20</f>
        <v>2504</v>
      </c>
      <c r="T6" s="566"/>
      <c r="U6" s="566">
        <f>I29</f>
        <v>15</v>
      </c>
      <c r="V6" s="566">
        <f t="shared" ref="V6:V14" si="4">SUM(Q6:U6)</f>
        <v>2519</v>
      </c>
      <c r="W6" s="88"/>
      <c r="X6" s="88"/>
      <c r="Y6" s="306">
        <v>58</v>
      </c>
      <c r="Z6" s="301">
        <v>122</v>
      </c>
      <c r="AA6" s="301">
        <v>117</v>
      </c>
      <c r="AB6" s="301">
        <v>114</v>
      </c>
      <c r="AC6" s="301">
        <v>84</v>
      </c>
    </row>
    <row r="7" spans="1:29" ht="21" customHeight="1">
      <c r="A7" s="222" t="s">
        <v>47</v>
      </c>
      <c r="B7" s="222">
        <v>35</v>
      </c>
      <c r="C7" s="369">
        <v>45</v>
      </c>
      <c r="D7" s="528">
        <v>52</v>
      </c>
      <c r="E7" s="529">
        <v>48</v>
      </c>
      <c r="F7" s="529">
        <v>51</v>
      </c>
      <c r="G7" s="529"/>
      <c r="H7" s="530"/>
      <c r="I7" s="529">
        <f>SUM(B7:H7)</f>
        <v>231</v>
      </c>
      <c r="J7" s="123"/>
      <c r="K7" s="123"/>
      <c r="L7" s="133">
        <f t="shared" si="2"/>
        <v>151</v>
      </c>
      <c r="M7" s="123"/>
      <c r="N7" s="123"/>
      <c r="O7" s="123">
        <f t="shared" si="3"/>
        <v>196</v>
      </c>
      <c r="P7" s="558" t="s">
        <v>48</v>
      </c>
      <c r="Q7" s="566"/>
      <c r="R7" s="566">
        <f>I98</f>
        <v>2255</v>
      </c>
      <c r="S7" s="566"/>
      <c r="T7" s="566"/>
      <c r="U7" s="566"/>
      <c r="V7" s="566">
        <f t="shared" si="4"/>
        <v>2255</v>
      </c>
      <c r="W7" s="88"/>
      <c r="X7" s="88"/>
      <c r="Y7" s="306">
        <v>57</v>
      </c>
      <c r="Z7" s="301">
        <v>128</v>
      </c>
      <c r="AA7" s="301">
        <v>101</v>
      </c>
      <c r="AB7" s="301">
        <v>51</v>
      </c>
      <c r="AC7" s="301">
        <v>30</v>
      </c>
    </row>
    <row r="8" spans="1:29" ht="21" customHeight="1">
      <c r="A8" s="222" t="s">
        <v>49</v>
      </c>
      <c r="B8" s="222">
        <v>34</v>
      </c>
      <c r="C8" s="369">
        <v>49</v>
      </c>
      <c r="D8" s="528">
        <v>55</v>
      </c>
      <c r="E8" s="529">
        <v>59</v>
      </c>
      <c r="F8" s="529">
        <v>51</v>
      </c>
      <c r="G8" s="529"/>
      <c r="H8" s="530"/>
      <c r="I8" s="529">
        <f t="shared" ref="I8:I19" si="5">SUM(B8:H8)</f>
        <v>248</v>
      </c>
      <c r="J8" s="123"/>
      <c r="K8" s="123"/>
      <c r="L8" s="133">
        <f t="shared" si="2"/>
        <v>165</v>
      </c>
      <c r="M8" s="123"/>
      <c r="N8" s="123"/>
      <c r="O8" s="123">
        <f t="shared" si="3"/>
        <v>214</v>
      </c>
      <c r="P8" s="558" t="s">
        <v>50</v>
      </c>
      <c r="Q8" s="566">
        <f>I117</f>
        <v>0</v>
      </c>
      <c r="R8" s="566">
        <f>I112</f>
        <v>2741</v>
      </c>
      <c r="S8" s="566"/>
      <c r="T8" s="566">
        <f>I121</f>
        <v>0</v>
      </c>
      <c r="U8" s="566"/>
      <c r="V8" s="566">
        <f t="shared" si="4"/>
        <v>2741</v>
      </c>
      <c r="W8" s="88"/>
      <c r="X8" s="88"/>
      <c r="Y8" s="306">
        <v>58</v>
      </c>
      <c r="Z8" s="301">
        <v>116</v>
      </c>
      <c r="AA8" s="301">
        <v>111</v>
      </c>
      <c r="AB8" s="301">
        <v>99</v>
      </c>
      <c r="AC8" s="301">
        <v>41</v>
      </c>
    </row>
    <row r="9" spans="1:29" ht="21" customHeight="1">
      <c r="A9" s="222" t="s">
        <v>51</v>
      </c>
      <c r="B9" s="222">
        <v>34</v>
      </c>
      <c r="C9" s="369">
        <v>43</v>
      </c>
      <c r="D9" s="528">
        <v>54</v>
      </c>
      <c r="E9" s="529">
        <v>49</v>
      </c>
      <c r="F9" s="529">
        <v>38</v>
      </c>
      <c r="G9" s="529"/>
      <c r="H9" s="530"/>
      <c r="I9" s="529">
        <f t="shared" si="5"/>
        <v>218</v>
      </c>
      <c r="J9" s="123"/>
      <c r="K9" s="123"/>
      <c r="L9" s="133">
        <f t="shared" si="2"/>
        <v>141</v>
      </c>
      <c r="M9" s="123"/>
      <c r="N9" s="123"/>
      <c r="O9" s="123">
        <f t="shared" si="3"/>
        <v>184</v>
      </c>
      <c r="P9" s="559" t="s">
        <v>6</v>
      </c>
      <c r="Q9" s="559">
        <f>SUM(Q6:Q8)</f>
        <v>0</v>
      </c>
      <c r="R9" s="559">
        <f>SUM(R6:R8)</f>
        <v>4996</v>
      </c>
      <c r="S9" s="559">
        <f>SUM(S6:S8)</f>
        <v>2504</v>
      </c>
      <c r="T9" s="559">
        <f>SUM(T6:T8)</f>
        <v>0</v>
      </c>
      <c r="U9" s="559">
        <f>SUM(U6:U8)</f>
        <v>15</v>
      </c>
      <c r="V9" s="559">
        <f t="shared" si="4"/>
        <v>7515</v>
      </c>
      <c r="W9" s="88">
        <f>Q9+R9+S9</f>
        <v>7500</v>
      </c>
      <c r="X9" s="88"/>
      <c r="Y9" s="306">
        <v>52</v>
      </c>
      <c r="Z9" s="301">
        <v>123</v>
      </c>
      <c r="AA9" s="301">
        <v>94</v>
      </c>
      <c r="AB9" s="301">
        <v>98</v>
      </c>
      <c r="AC9" s="301">
        <v>82</v>
      </c>
    </row>
    <row r="10" spans="1:29" ht="21" customHeight="1">
      <c r="A10" s="222" t="s">
        <v>52</v>
      </c>
      <c r="B10" s="222">
        <v>36</v>
      </c>
      <c r="C10" s="369">
        <v>45</v>
      </c>
      <c r="D10" s="528">
        <v>51</v>
      </c>
      <c r="E10" s="529">
        <v>53</v>
      </c>
      <c r="F10" s="529">
        <v>46</v>
      </c>
      <c r="G10" s="529"/>
      <c r="H10" s="530"/>
      <c r="I10" s="529">
        <f t="shared" si="5"/>
        <v>231</v>
      </c>
      <c r="J10" s="123"/>
      <c r="K10" s="123"/>
      <c r="L10" s="133">
        <f t="shared" si="2"/>
        <v>150</v>
      </c>
      <c r="M10" s="123"/>
      <c r="N10" s="123"/>
      <c r="O10" s="123">
        <f t="shared" si="3"/>
        <v>195</v>
      </c>
      <c r="P10" s="558" t="s">
        <v>53</v>
      </c>
      <c r="Q10" s="566"/>
      <c r="R10" s="566">
        <f>I42</f>
        <v>1758</v>
      </c>
      <c r="S10" s="566"/>
      <c r="T10" s="566">
        <f>I46</f>
        <v>12</v>
      </c>
      <c r="U10" s="566">
        <f>I49</f>
        <v>8</v>
      </c>
      <c r="V10" s="566">
        <f t="shared" si="4"/>
        <v>1778</v>
      </c>
      <c r="W10" s="88"/>
      <c r="X10" s="88"/>
      <c r="Y10" s="306">
        <v>59</v>
      </c>
      <c r="Z10" s="301">
        <v>120</v>
      </c>
      <c r="AA10" s="301">
        <v>116</v>
      </c>
      <c r="AB10" s="301">
        <v>88</v>
      </c>
      <c r="AC10" s="301">
        <v>34</v>
      </c>
    </row>
    <row r="11" spans="1:29" ht="21" customHeight="1">
      <c r="A11" s="222" t="s">
        <v>54</v>
      </c>
      <c r="B11" s="222">
        <v>31</v>
      </c>
      <c r="C11" s="369">
        <v>44</v>
      </c>
      <c r="D11" s="528">
        <v>42</v>
      </c>
      <c r="E11" s="529">
        <v>42</v>
      </c>
      <c r="F11" s="529">
        <v>40</v>
      </c>
      <c r="G11" s="529"/>
      <c r="H11" s="530"/>
      <c r="I11" s="529">
        <f t="shared" si="5"/>
        <v>199</v>
      </c>
      <c r="J11" s="123"/>
      <c r="K11" s="123"/>
      <c r="L11" s="133">
        <f t="shared" si="2"/>
        <v>124</v>
      </c>
      <c r="M11" s="123"/>
      <c r="N11" s="123"/>
      <c r="O11" s="123">
        <f t="shared" si="3"/>
        <v>168</v>
      </c>
      <c r="P11" s="558" t="s">
        <v>55</v>
      </c>
      <c r="Q11" s="566"/>
      <c r="R11" s="566">
        <f>I74</f>
        <v>845</v>
      </c>
      <c r="S11" s="566"/>
      <c r="T11" s="566"/>
      <c r="U11" s="566"/>
      <c r="V11" s="566">
        <f t="shared" si="4"/>
        <v>845</v>
      </c>
      <c r="W11" s="88"/>
      <c r="X11" s="88"/>
      <c r="Y11" s="306">
        <v>51</v>
      </c>
      <c r="Z11" s="301">
        <v>116</v>
      </c>
      <c r="AA11" s="301">
        <v>102</v>
      </c>
      <c r="AB11" s="301">
        <v>65</v>
      </c>
      <c r="AC11" s="301">
        <v>54</v>
      </c>
    </row>
    <row r="12" spans="1:29" ht="21" customHeight="1">
      <c r="A12" s="531" t="s">
        <v>56</v>
      </c>
      <c r="B12" s="531">
        <v>30</v>
      </c>
      <c r="C12" s="532">
        <v>38</v>
      </c>
      <c r="D12" s="533">
        <v>45</v>
      </c>
      <c r="E12" s="534">
        <v>43</v>
      </c>
      <c r="F12" s="529">
        <v>52</v>
      </c>
      <c r="G12" s="275"/>
      <c r="H12" s="535"/>
      <c r="I12" s="275">
        <f t="shared" si="5"/>
        <v>208</v>
      </c>
      <c r="J12" s="88"/>
      <c r="K12" s="88"/>
      <c r="L12" s="131">
        <f t="shared" si="2"/>
        <v>140</v>
      </c>
      <c r="M12" s="88"/>
      <c r="N12" s="88"/>
      <c r="O12" s="88">
        <f t="shared" si="3"/>
        <v>178</v>
      </c>
      <c r="P12" s="558" t="s">
        <v>57</v>
      </c>
      <c r="Q12" s="566">
        <f>I69</f>
        <v>65</v>
      </c>
      <c r="R12" s="566">
        <f>I63</f>
        <v>874</v>
      </c>
      <c r="S12" s="566"/>
      <c r="T12" s="566">
        <f>I73</f>
        <v>0</v>
      </c>
      <c r="U12" s="566"/>
      <c r="V12" s="566">
        <f t="shared" si="4"/>
        <v>939</v>
      </c>
      <c r="W12" s="88"/>
      <c r="X12" s="88"/>
      <c r="Y12" s="306">
        <v>57</v>
      </c>
      <c r="Z12" s="301">
        <v>43</v>
      </c>
      <c r="AA12" s="301"/>
      <c r="AB12" s="301">
        <v>18</v>
      </c>
      <c r="AC12" s="301">
        <v>1</v>
      </c>
    </row>
    <row r="13" spans="1:29" ht="21" customHeight="1">
      <c r="A13" s="222" t="s">
        <v>17</v>
      </c>
      <c r="B13" s="222">
        <v>30</v>
      </c>
      <c r="C13" s="369">
        <v>37</v>
      </c>
      <c r="D13" s="528">
        <v>47</v>
      </c>
      <c r="E13" s="529">
        <v>47</v>
      </c>
      <c r="F13" s="529">
        <v>41</v>
      </c>
      <c r="G13" s="529"/>
      <c r="H13" s="530"/>
      <c r="I13" s="529">
        <f t="shared" si="5"/>
        <v>202</v>
      </c>
      <c r="J13" s="123"/>
      <c r="K13" s="123"/>
      <c r="L13" s="133">
        <f t="shared" si="2"/>
        <v>135</v>
      </c>
      <c r="M13" s="123"/>
      <c r="N13" s="123"/>
      <c r="O13" s="123">
        <f t="shared" si="3"/>
        <v>172</v>
      </c>
      <c r="P13" s="560" t="s">
        <v>6</v>
      </c>
      <c r="Q13" s="559">
        <f>SUM(Q10:Q12)</f>
        <v>65</v>
      </c>
      <c r="R13" s="559">
        <f>SUM(R10:R12)</f>
        <v>3477</v>
      </c>
      <c r="S13" s="559">
        <f>SUM(S10:S12)</f>
        <v>0</v>
      </c>
      <c r="T13" s="559">
        <f>SUM(T10:T12)</f>
        <v>12</v>
      </c>
      <c r="U13" s="559">
        <f>SUM(U10:U12)</f>
        <v>8</v>
      </c>
      <c r="V13" s="566">
        <f t="shared" si="4"/>
        <v>3562</v>
      </c>
      <c r="W13" s="88">
        <f>Q13+R13</f>
        <v>3542</v>
      </c>
      <c r="X13" s="88"/>
      <c r="Y13" s="306">
        <v>54</v>
      </c>
      <c r="Z13" s="301">
        <v>105</v>
      </c>
      <c r="AA13" s="301">
        <v>108</v>
      </c>
      <c r="AB13" s="301">
        <v>100</v>
      </c>
      <c r="AC13" s="301">
        <v>64</v>
      </c>
    </row>
    <row r="14" spans="1:29" ht="21" customHeight="1">
      <c r="A14" s="222" t="s">
        <v>58</v>
      </c>
      <c r="B14" s="222">
        <v>33</v>
      </c>
      <c r="C14" s="369">
        <v>43</v>
      </c>
      <c r="D14" s="528">
        <v>50</v>
      </c>
      <c r="E14" s="529">
        <v>41</v>
      </c>
      <c r="F14" s="529">
        <v>39</v>
      </c>
      <c r="G14" s="529"/>
      <c r="H14" s="530"/>
      <c r="I14" s="529">
        <f t="shared" si="5"/>
        <v>206</v>
      </c>
      <c r="J14" s="123"/>
      <c r="K14" s="123"/>
      <c r="L14" s="133">
        <f t="shared" si="2"/>
        <v>130</v>
      </c>
      <c r="M14" s="123"/>
      <c r="N14" s="123"/>
      <c r="O14" s="123">
        <f t="shared" si="3"/>
        <v>173</v>
      </c>
      <c r="P14" s="560" t="s">
        <v>21</v>
      </c>
      <c r="Q14" s="559">
        <f>SUM(Q9,Q13)</f>
        <v>65</v>
      </c>
      <c r="R14" s="559">
        <f>SUM(R9,R13)</f>
        <v>8473</v>
      </c>
      <c r="S14" s="559">
        <f>SUM(S9,S13)</f>
        <v>2504</v>
      </c>
      <c r="T14" s="559">
        <f>SUM(T9,T13)</f>
        <v>12</v>
      </c>
      <c r="U14" s="559">
        <f>SUM(U9,U13)</f>
        <v>23</v>
      </c>
      <c r="V14" s="559">
        <f t="shared" si="4"/>
        <v>11077</v>
      </c>
      <c r="W14" s="88"/>
      <c r="X14" s="88"/>
      <c r="Y14" s="306">
        <v>45</v>
      </c>
      <c r="Z14" s="301">
        <v>58</v>
      </c>
      <c r="AA14" s="301">
        <v>110</v>
      </c>
      <c r="AB14" s="301"/>
      <c r="AC14" s="301"/>
    </row>
    <row r="15" spans="1:29" ht="21" customHeight="1">
      <c r="A15" s="222" t="s">
        <v>59</v>
      </c>
      <c r="B15" s="222"/>
      <c r="C15" s="369">
        <v>50</v>
      </c>
      <c r="D15" s="528">
        <v>44</v>
      </c>
      <c r="E15" s="529">
        <v>39</v>
      </c>
      <c r="F15" s="529">
        <v>42</v>
      </c>
      <c r="G15" s="529"/>
      <c r="H15" s="530"/>
      <c r="I15" s="529">
        <f t="shared" si="5"/>
        <v>175</v>
      </c>
      <c r="J15" s="123"/>
      <c r="K15" s="123"/>
      <c r="L15" s="133">
        <f t="shared" si="2"/>
        <v>125</v>
      </c>
      <c r="M15" s="123"/>
      <c r="N15" s="123"/>
      <c r="O15" s="123">
        <f t="shared" si="3"/>
        <v>175</v>
      </c>
      <c r="P15" s="561"/>
      <c r="Q15" s="842">
        <f>Q14+R14+S14</f>
        <v>11042</v>
      </c>
      <c r="R15" s="843"/>
      <c r="S15" s="844"/>
      <c r="T15" s="567"/>
      <c r="U15" s="567"/>
      <c r="V15" s="567"/>
      <c r="W15" s="88">
        <f>Q14+R14+S14</f>
        <v>11042</v>
      </c>
      <c r="X15" s="88"/>
      <c r="Y15" s="306">
        <v>48</v>
      </c>
      <c r="Z15" s="301">
        <v>99</v>
      </c>
      <c r="AA15" s="301"/>
      <c r="AB15" s="301"/>
      <c r="AC15" s="301"/>
    </row>
    <row r="16" spans="1:29" ht="21" customHeight="1">
      <c r="A16" s="222" t="s">
        <v>60</v>
      </c>
      <c r="B16" s="222"/>
      <c r="C16" s="369"/>
      <c r="D16" s="528"/>
      <c r="E16" s="529">
        <v>26</v>
      </c>
      <c r="F16" s="529"/>
      <c r="G16" s="529"/>
      <c r="H16" s="530"/>
      <c r="I16" s="529">
        <f t="shared" si="5"/>
        <v>26</v>
      </c>
      <c r="J16" s="123"/>
      <c r="K16" s="123"/>
      <c r="L16" s="133">
        <f t="shared" si="2"/>
        <v>26</v>
      </c>
      <c r="M16" s="123"/>
      <c r="N16" s="123"/>
      <c r="O16" s="123">
        <f t="shared" si="3"/>
        <v>26</v>
      </c>
      <c r="P16" s="813" t="s">
        <v>243</v>
      </c>
      <c r="Q16" s="845"/>
      <c r="R16" s="845"/>
      <c r="S16" s="845"/>
      <c r="T16" s="845"/>
      <c r="U16" s="845"/>
      <c r="V16" s="846"/>
      <c r="W16" s="88"/>
      <c r="X16" s="88"/>
      <c r="Y16" s="306"/>
      <c r="Z16" s="301">
        <v>50</v>
      </c>
      <c r="AA16" s="301"/>
      <c r="AB16" s="301"/>
      <c r="AC16" s="301"/>
    </row>
    <row r="17" spans="1:30" ht="21" customHeight="1">
      <c r="A17" s="222" t="s">
        <v>62</v>
      </c>
      <c r="B17" s="222"/>
      <c r="C17" s="369"/>
      <c r="D17" s="528"/>
      <c r="E17" s="529">
        <v>39</v>
      </c>
      <c r="F17" s="529"/>
      <c r="G17" s="529"/>
      <c r="H17" s="530"/>
      <c r="I17" s="529">
        <f t="shared" si="5"/>
        <v>39</v>
      </c>
      <c r="J17" s="123"/>
      <c r="K17" s="123"/>
      <c r="L17" s="133">
        <f t="shared" si="2"/>
        <v>39</v>
      </c>
      <c r="M17" s="123"/>
      <c r="N17" s="123"/>
      <c r="O17" s="123">
        <f t="shared" si="3"/>
        <v>39</v>
      </c>
      <c r="P17" s="805" t="s">
        <v>38</v>
      </c>
      <c r="Q17" s="798" t="s">
        <v>39</v>
      </c>
      <c r="R17" s="798"/>
      <c r="S17" s="798"/>
      <c r="T17" s="798"/>
      <c r="U17" s="798"/>
      <c r="V17" s="807" t="s">
        <v>6</v>
      </c>
      <c r="W17" s="88"/>
      <c r="X17" s="88"/>
      <c r="Y17" s="306"/>
      <c r="Z17" s="301">
        <v>47</v>
      </c>
      <c r="AA17" s="301"/>
      <c r="AB17" s="301"/>
      <c r="AC17" s="301"/>
    </row>
    <row r="18" spans="1:30" ht="21" customHeight="1">
      <c r="A18" s="222" t="s">
        <v>63</v>
      </c>
      <c r="B18" s="222"/>
      <c r="C18" s="369">
        <v>40</v>
      </c>
      <c r="D18" s="528">
        <v>42</v>
      </c>
      <c r="E18" s="529">
        <v>42</v>
      </c>
      <c r="F18" s="529">
        <v>31</v>
      </c>
      <c r="G18" s="529"/>
      <c r="H18" s="530"/>
      <c r="I18" s="529">
        <f t="shared" si="5"/>
        <v>155</v>
      </c>
      <c r="J18" s="123"/>
      <c r="K18" s="123"/>
      <c r="L18" s="133">
        <f t="shared" si="2"/>
        <v>115</v>
      </c>
      <c r="M18" s="123"/>
      <c r="N18" s="123"/>
      <c r="O18" s="123">
        <f t="shared" si="3"/>
        <v>155</v>
      </c>
      <c r="P18" s="806"/>
      <c r="Q18" s="113" t="s">
        <v>41</v>
      </c>
      <c r="R18" s="110" t="s">
        <v>42</v>
      </c>
      <c r="S18" s="110" t="s">
        <v>43</v>
      </c>
      <c r="T18" s="110" t="s">
        <v>25</v>
      </c>
      <c r="U18" s="110" t="s">
        <v>44</v>
      </c>
      <c r="V18" s="808"/>
      <c r="W18" s="88"/>
      <c r="X18" s="88"/>
      <c r="Y18" s="306">
        <v>39</v>
      </c>
      <c r="Z18" s="301">
        <v>88</v>
      </c>
      <c r="AA18" s="301"/>
      <c r="AB18" s="301"/>
      <c r="AC18" s="301"/>
    </row>
    <row r="19" spans="1:30" ht="21" customHeight="1">
      <c r="A19" s="536" t="s">
        <v>64</v>
      </c>
      <c r="B19" s="224">
        <v>26</v>
      </c>
      <c r="C19" s="537">
        <v>42</v>
      </c>
      <c r="D19" s="538"/>
      <c r="E19" s="539">
        <v>40</v>
      </c>
      <c r="F19" s="539">
        <v>31</v>
      </c>
      <c r="G19" s="539"/>
      <c r="H19" s="540"/>
      <c r="I19" s="539">
        <f t="shared" si="5"/>
        <v>139</v>
      </c>
      <c r="J19" s="123"/>
      <c r="K19" s="123"/>
      <c r="L19" s="133">
        <f t="shared" si="2"/>
        <v>71</v>
      </c>
      <c r="M19" s="123"/>
      <c r="N19" s="123"/>
      <c r="O19" s="123">
        <f t="shared" si="3"/>
        <v>113</v>
      </c>
      <c r="P19" s="126" t="s">
        <v>46</v>
      </c>
      <c r="Q19" s="127"/>
      <c r="R19" s="127"/>
      <c r="S19" s="127">
        <f>B20</f>
        <v>316</v>
      </c>
      <c r="T19" s="127"/>
      <c r="U19" s="127">
        <f>B29</f>
        <v>5</v>
      </c>
      <c r="V19" s="127">
        <f t="shared" ref="V19:V29" si="6">SUM(Q19:U19)</f>
        <v>321</v>
      </c>
      <c r="W19" s="88"/>
      <c r="X19" s="88"/>
      <c r="Y19" s="306">
        <v>34</v>
      </c>
      <c r="Z19" s="301"/>
      <c r="AA19" s="301"/>
      <c r="AB19" s="301"/>
      <c r="AC19" s="301"/>
    </row>
    <row r="20" spans="1:30" ht="21" customHeight="1">
      <c r="A20" s="361" t="s">
        <v>6</v>
      </c>
      <c r="B20" s="49">
        <f>SUM(B6:B19)</f>
        <v>316</v>
      </c>
      <c r="C20" s="49">
        <f>SUM(C6:C19)</f>
        <v>515</v>
      </c>
      <c r="D20" s="49">
        <f t="shared" ref="D20:I20" si="7">SUM(D6:D19)</f>
        <v>534</v>
      </c>
      <c r="E20" s="49">
        <f t="shared" si="7"/>
        <v>623</v>
      </c>
      <c r="F20" s="49">
        <f t="shared" si="7"/>
        <v>516</v>
      </c>
      <c r="G20" s="49">
        <f t="shared" ref="G20" si="8">SUM(G6:G19)</f>
        <v>0</v>
      </c>
      <c r="H20" s="49">
        <f t="shared" si="7"/>
        <v>0</v>
      </c>
      <c r="I20" s="49">
        <f t="shared" si="7"/>
        <v>2504</v>
      </c>
      <c r="J20" s="135"/>
      <c r="K20" s="135"/>
      <c r="L20" s="135"/>
      <c r="M20" s="135">
        <f>615+836+1173+526+696</f>
        <v>3846</v>
      </c>
      <c r="N20" s="135">
        <f>1+6+17+43</f>
        <v>67</v>
      </c>
      <c r="O20" s="135"/>
      <c r="P20" s="126" t="s">
        <v>48</v>
      </c>
      <c r="Q20" s="127"/>
      <c r="R20" s="127">
        <f>B98</f>
        <v>724</v>
      </c>
      <c r="S20" s="127"/>
      <c r="T20" s="127"/>
      <c r="U20" s="127"/>
      <c r="V20" s="127">
        <f t="shared" si="6"/>
        <v>724</v>
      </c>
      <c r="W20" s="135"/>
      <c r="X20" s="135"/>
      <c r="Y20" s="568">
        <f>SUM(Y6:Y19)</f>
        <v>612</v>
      </c>
      <c r="Z20" s="301">
        <f>SUM(Z6:Z19)</f>
        <v>1215</v>
      </c>
      <c r="AA20" s="301">
        <f>SUM(AA6:AA19)</f>
        <v>859</v>
      </c>
      <c r="AB20" s="471">
        <f>SUM(AB6:AB19)</f>
        <v>633</v>
      </c>
      <c r="AC20" s="301">
        <f>SUM(AC6:AC19)</f>
        <v>390</v>
      </c>
      <c r="AD20" s="306"/>
    </row>
    <row r="21" spans="1:30" ht="21" hidden="1" customHeight="1">
      <c r="A21" s="65" t="s">
        <v>14</v>
      </c>
      <c r="B21" s="65"/>
      <c r="C21" s="65"/>
      <c r="D21" s="541"/>
      <c r="E21" s="279"/>
      <c r="F21" s="279"/>
      <c r="G21" s="279"/>
      <c r="H21" s="279"/>
      <c r="I21" s="279"/>
      <c r="J21" s="88"/>
      <c r="K21" s="88"/>
      <c r="L21" s="88"/>
      <c r="M21" s="88"/>
      <c r="N21" s="88"/>
      <c r="O21" s="88"/>
      <c r="P21" s="126" t="s">
        <v>48</v>
      </c>
      <c r="Q21" s="127"/>
      <c r="R21" s="127"/>
      <c r="S21" s="127"/>
      <c r="T21" s="127"/>
      <c r="U21" s="127"/>
      <c r="V21" s="127">
        <f t="shared" si="6"/>
        <v>0</v>
      </c>
      <c r="W21" s="88"/>
      <c r="X21" s="88"/>
    </row>
    <row r="22" spans="1:30" ht="21" hidden="1" customHeight="1">
      <c r="A22" s="65" t="s">
        <v>65</v>
      </c>
      <c r="B22" s="65"/>
      <c r="C22" s="65"/>
      <c r="D22" s="541"/>
      <c r="E22" s="279"/>
      <c r="F22" s="279"/>
      <c r="G22" s="279"/>
      <c r="H22" s="279"/>
      <c r="I22" s="279"/>
      <c r="J22" s="88"/>
      <c r="K22" s="88"/>
      <c r="L22" s="88"/>
      <c r="M22" s="88"/>
      <c r="N22" s="88"/>
      <c r="O22" s="88"/>
      <c r="P22" s="126" t="s">
        <v>46</v>
      </c>
      <c r="Q22" s="127"/>
      <c r="R22" s="127"/>
      <c r="S22" s="127"/>
      <c r="T22" s="127"/>
      <c r="U22" s="127"/>
      <c r="V22" s="127">
        <f t="shared" si="6"/>
        <v>0</v>
      </c>
      <c r="W22" s="88"/>
      <c r="X22" s="88"/>
    </row>
    <row r="23" spans="1:30" ht="21" hidden="1" customHeight="1">
      <c r="A23" s="60" t="s">
        <v>6</v>
      </c>
      <c r="B23" s="60"/>
      <c r="C23" s="60"/>
      <c r="D23" s="542"/>
      <c r="E23" s="49">
        <f>SUM(E22)</f>
        <v>0</v>
      </c>
      <c r="F23" s="49">
        <f>SUM(F22)</f>
        <v>0</v>
      </c>
      <c r="G23" s="49">
        <f>SUM(G22)</f>
        <v>0</v>
      </c>
      <c r="H23" s="49">
        <f>SUM(H22)</f>
        <v>0</v>
      </c>
      <c r="I23" s="49">
        <f>SUM(I22)</f>
        <v>0</v>
      </c>
      <c r="J23" s="135"/>
      <c r="K23" s="135"/>
      <c r="L23" s="135"/>
      <c r="M23" s="135"/>
      <c r="N23" s="135"/>
      <c r="O23" s="135"/>
      <c r="P23" s="126" t="s">
        <v>48</v>
      </c>
      <c r="Q23" s="127"/>
      <c r="R23" s="127"/>
      <c r="S23" s="127"/>
      <c r="T23" s="127"/>
      <c r="U23" s="127"/>
      <c r="V23" s="127">
        <f t="shared" si="6"/>
        <v>0</v>
      </c>
      <c r="W23" s="135"/>
      <c r="X23" s="135"/>
    </row>
    <row r="24" spans="1:30" ht="21" customHeight="1">
      <c r="A24" s="543" t="s">
        <v>16</v>
      </c>
      <c r="B24" s="543"/>
      <c r="C24" s="544"/>
      <c r="D24" s="545"/>
      <c r="E24" s="546"/>
      <c r="F24" s="546"/>
      <c r="G24" s="546"/>
      <c r="H24" s="546"/>
      <c r="I24" s="279"/>
      <c r="J24" s="88"/>
      <c r="K24" s="88"/>
      <c r="L24" s="88"/>
      <c r="M24" s="88"/>
      <c r="N24" s="88"/>
      <c r="O24" s="88"/>
      <c r="P24" s="126" t="s">
        <v>50</v>
      </c>
      <c r="Q24" s="127">
        <f>B117</f>
        <v>0</v>
      </c>
      <c r="R24" s="127">
        <f>B112</f>
        <v>905</v>
      </c>
      <c r="S24" s="127"/>
      <c r="T24" s="127"/>
      <c r="U24" s="127"/>
      <c r="V24" s="127">
        <f t="shared" si="6"/>
        <v>905</v>
      </c>
      <c r="W24" s="88"/>
      <c r="X24" s="88"/>
    </row>
    <row r="25" spans="1:30" ht="21" customHeight="1">
      <c r="A25" s="547" t="s">
        <v>66</v>
      </c>
      <c r="B25" s="65"/>
      <c r="C25" s="65"/>
      <c r="D25" s="541"/>
      <c r="E25" s="279"/>
      <c r="F25" s="279"/>
      <c r="G25" s="279">
        <v>2</v>
      </c>
      <c r="H25" s="279"/>
      <c r="I25" s="275">
        <f t="shared" ref="I25:I28" si="9">SUM(B25:H25)</f>
        <v>2</v>
      </c>
      <c r="J25" s="88"/>
      <c r="K25" s="88"/>
      <c r="L25" s="88"/>
      <c r="M25" s="88"/>
      <c r="N25" s="88"/>
      <c r="O25" s="88"/>
      <c r="P25" s="49" t="s">
        <v>6</v>
      </c>
      <c r="Q25" s="49">
        <f t="shared" ref="Q25:U26" si="10">SUM(Q19:Q24)</f>
        <v>0</v>
      </c>
      <c r="R25" s="49">
        <f t="shared" si="10"/>
        <v>1629</v>
      </c>
      <c r="S25" s="49">
        <f t="shared" si="10"/>
        <v>316</v>
      </c>
      <c r="T25" s="49">
        <f t="shared" si="10"/>
        <v>0</v>
      </c>
      <c r="U25" s="49">
        <f t="shared" si="10"/>
        <v>5</v>
      </c>
      <c r="V25" s="49">
        <f t="shared" si="6"/>
        <v>1950</v>
      </c>
      <c r="W25" s="88"/>
      <c r="X25" s="88"/>
      <c r="Y25" s="306"/>
      <c r="Z25" s="301">
        <v>6</v>
      </c>
      <c r="AA25" s="301"/>
      <c r="AB25" s="301"/>
      <c r="AC25" s="301">
        <f>SUM(Y25:AB25)</f>
        <v>6</v>
      </c>
      <c r="AD25" s="306"/>
    </row>
    <row r="26" spans="1:30" ht="21" customHeight="1">
      <c r="A26" s="547" t="s">
        <v>67</v>
      </c>
      <c r="B26" s="65">
        <v>5</v>
      </c>
      <c r="C26" s="65"/>
      <c r="D26" s="541">
        <v>5</v>
      </c>
      <c r="E26" s="279"/>
      <c r="F26" s="279"/>
      <c r="G26" s="279"/>
      <c r="H26" s="279"/>
      <c r="I26" s="275">
        <f t="shared" si="9"/>
        <v>10</v>
      </c>
      <c r="J26" s="88"/>
      <c r="K26" s="88"/>
      <c r="L26" s="88"/>
      <c r="M26" s="88"/>
      <c r="N26" s="88"/>
      <c r="O26" s="88"/>
      <c r="P26" s="49" t="s">
        <v>6</v>
      </c>
      <c r="Q26" s="49">
        <f t="shared" si="10"/>
        <v>0</v>
      </c>
      <c r="R26" s="49">
        <f t="shared" si="10"/>
        <v>3258</v>
      </c>
      <c r="S26" s="49">
        <f t="shared" si="10"/>
        <v>316</v>
      </c>
      <c r="T26" s="49">
        <f t="shared" si="10"/>
        <v>0</v>
      </c>
      <c r="U26" s="49">
        <f t="shared" si="10"/>
        <v>5</v>
      </c>
      <c r="V26" s="49">
        <f t="shared" ref="V26" si="11">SUM(Q26:U26)</f>
        <v>3579</v>
      </c>
      <c r="W26" s="88"/>
      <c r="X26" s="88"/>
      <c r="Y26" s="306"/>
      <c r="Z26" s="301">
        <v>6</v>
      </c>
      <c r="AA26" s="301"/>
      <c r="AB26" s="301"/>
      <c r="AC26" s="301">
        <f>SUM(Y26:AB26)</f>
        <v>6</v>
      </c>
      <c r="AD26" s="306"/>
    </row>
    <row r="27" spans="1:30" ht="21" customHeight="1">
      <c r="A27" s="547" t="s">
        <v>68</v>
      </c>
      <c r="B27" s="65"/>
      <c r="C27" s="65"/>
      <c r="D27" s="541"/>
      <c r="E27" s="279"/>
      <c r="F27" s="279">
        <v>3</v>
      </c>
      <c r="G27" s="279"/>
      <c r="H27" s="279"/>
      <c r="I27" s="275">
        <f t="shared" si="9"/>
        <v>3</v>
      </c>
      <c r="J27" s="88"/>
      <c r="K27" s="88"/>
      <c r="L27" s="88"/>
      <c r="M27" s="88"/>
      <c r="N27" s="88"/>
      <c r="O27" s="88"/>
      <c r="P27" s="126" t="s">
        <v>53</v>
      </c>
      <c r="Q27" s="127"/>
      <c r="R27" s="127">
        <f>B42</f>
        <v>571</v>
      </c>
      <c r="S27" s="127"/>
      <c r="T27" s="127">
        <f>B46</f>
        <v>1</v>
      </c>
      <c r="U27" s="127">
        <f>B49</f>
        <v>1</v>
      </c>
      <c r="V27" s="127">
        <f t="shared" si="6"/>
        <v>573</v>
      </c>
      <c r="W27" s="88"/>
      <c r="X27" s="88"/>
      <c r="Y27" s="306">
        <v>6</v>
      </c>
      <c r="Z27" s="301"/>
      <c r="AA27" s="301">
        <v>19</v>
      </c>
      <c r="AB27" s="301"/>
      <c r="AC27" s="301">
        <f>SUM(Y27:AB27)</f>
        <v>25</v>
      </c>
      <c r="AD27" s="306"/>
    </row>
    <row r="28" spans="1:30" ht="21" customHeight="1">
      <c r="A28" s="547" t="s">
        <v>69</v>
      </c>
      <c r="B28" s="65"/>
      <c r="C28" s="65"/>
      <c r="D28" s="541"/>
      <c r="E28" s="279"/>
      <c r="F28" s="279"/>
      <c r="G28" s="279"/>
      <c r="H28" s="279"/>
      <c r="I28" s="273">
        <f t="shared" si="9"/>
        <v>0</v>
      </c>
      <c r="J28" s="88"/>
      <c r="K28" s="88"/>
      <c r="L28" s="88"/>
      <c r="M28" s="88"/>
      <c r="N28" s="88"/>
      <c r="O28" s="88"/>
      <c r="P28" s="126" t="s">
        <v>55</v>
      </c>
      <c r="Q28" s="127"/>
      <c r="R28" s="127">
        <f>B74</f>
        <v>292</v>
      </c>
      <c r="S28" s="127"/>
      <c r="T28" s="127"/>
      <c r="U28" s="127"/>
      <c r="V28" s="127">
        <f t="shared" si="6"/>
        <v>292</v>
      </c>
      <c r="W28" s="88"/>
      <c r="X28" s="88"/>
      <c r="Y28" s="306"/>
      <c r="Z28" s="301"/>
      <c r="AA28" s="301">
        <v>9</v>
      </c>
      <c r="AB28" s="301"/>
      <c r="AC28" s="301">
        <f>SUM(Y28:AB28)</f>
        <v>9</v>
      </c>
      <c r="AD28" s="306"/>
    </row>
    <row r="29" spans="1:30" ht="21" customHeight="1">
      <c r="A29" s="60" t="s">
        <v>6</v>
      </c>
      <c r="B29" s="49">
        <f t="shared" ref="B29" si="12">SUM(B25:B28)</f>
        <v>5</v>
      </c>
      <c r="C29" s="49">
        <f t="shared" ref="C29:I29" si="13">SUM(C25:C28)</f>
        <v>0</v>
      </c>
      <c r="D29" s="49">
        <f t="shared" si="13"/>
        <v>5</v>
      </c>
      <c r="E29" s="49">
        <f t="shared" si="13"/>
        <v>0</v>
      </c>
      <c r="F29" s="49">
        <f t="shared" si="13"/>
        <v>3</v>
      </c>
      <c r="G29" s="49">
        <f t="shared" ref="G29" si="14">SUM(G25:G28)</f>
        <v>2</v>
      </c>
      <c r="H29" s="49">
        <f t="shared" si="13"/>
        <v>0</v>
      </c>
      <c r="I29" s="49">
        <f t="shared" si="13"/>
        <v>15</v>
      </c>
      <c r="J29" s="135"/>
      <c r="K29" s="135"/>
      <c r="L29" s="135"/>
      <c r="M29" s="135"/>
      <c r="N29" s="135"/>
      <c r="O29" s="135"/>
      <c r="P29" s="126" t="s">
        <v>57</v>
      </c>
      <c r="Q29" s="127">
        <f>B69</f>
        <v>0</v>
      </c>
      <c r="R29" s="127">
        <f>B63</f>
        <v>272</v>
      </c>
      <c r="S29" s="127"/>
      <c r="T29" s="127"/>
      <c r="U29" s="127"/>
      <c r="V29" s="127">
        <f t="shared" si="6"/>
        <v>272</v>
      </c>
      <c r="W29" s="135"/>
      <c r="X29" s="135"/>
      <c r="Y29" s="306">
        <f>SUM(Y25:Y28)</f>
        <v>6</v>
      </c>
      <c r="Z29" s="301">
        <f>SUM(Z25:Z28)</f>
        <v>12</v>
      </c>
      <c r="AA29" s="301">
        <f>SUM(AA25:AA28)</f>
        <v>28</v>
      </c>
      <c r="AC29" s="306">
        <f>SUM(Y29:AB29)</f>
        <v>46</v>
      </c>
      <c r="AD29" s="306"/>
    </row>
    <row r="30" spans="1:30" ht="21" customHeight="1">
      <c r="A30" s="61" t="s">
        <v>70</v>
      </c>
      <c r="B30" s="49">
        <f t="shared" ref="B30:I30" si="15">SUM(B42,B49,B46)</f>
        <v>573</v>
      </c>
      <c r="C30" s="49">
        <f t="shared" si="15"/>
        <v>376</v>
      </c>
      <c r="D30" s="49">
        <f t="shared" si="15"/>
        <v>418</v>
      </c>
      <c r="E30" s="49">
        <f t="shared" si="15"/>
        <v>360</v>
      </c>
      <c r="F30" s="49">
        <f t="shared" si="15"/>
        <v>49</v>
      </c>
      <c r="G30" s="49">
        <f t="shared" si="15"/>
        <v>2</v>
      </c>
      <c r="H30" s="49">
        <f t="shared" si="15"/>
        <v>0</v>
      </c>
      <c r="I30" s="49">
        <f t="shared" si="15"/>
        <v>1778</v>
      </c>
      <c r="J30" s="135">
        <f>1708-20</f>
        <v>1688</v>
      </c>
      <c r="K30" s="135"/>
      <c r="L30" s="135"/>
      <c r="M30" s="135"/>
      <c r="N30" s="135"/>
      <c r="O30" s="135"/>
      <c r="P30" s="129" t="s">
        <v>6</v>
      </c>
      <c r="Q30" s="49">
        <f t="shared" ref="Q30:V30" si="16">SUM(Q27:Q29)</f>
        <v>0</v>
      </c>
      <c r="R30" s="49">
        <f t="shared" si="16"/>
        <v>1135</v>
      </c>
      <c r="S30" s="49">
        <f t="shared" si="16"/>
        <v>0</v>
      </c>
      <c r="T30" s="49">
        <f t="shared" si="16"/>
        <v>1</v>
      </c>
      <c r="U30" s="49">
        <f t="shared" si="16"/>
        <v>1</v>
      </c>
      <c r="V30" s="49">
        <f t="shared" si="16"/>
        <v>1137</v>
      </c>
      <c r="W30" s="135"/>
      <c r="X30" s="135"/>
      <c r="AA30" s="301">
        <f>I30</f>
        <v>1778</v>
      </c>
      <c r="AB30" s="301">
        <f>I50</f>
        <v>939</v>
      </c>
      <c r="AC30" s="301">
        <f>I74</f>
        <v>845</v>
      </c>
      <c r="AD30" s="301"/>
    </row>
    <row r="31" spans="1:30" ht="21" customHeight="1">
      <c r="A31" s="223" t="s">
        <v>71</v>
      </c>
      <c r="B31" s="223">
        <v>95</v>
      </c>
      <c r="C31" s="354">
        <v>55</v>
      </c>
      <c r="D31" s="548">
        <v>76</v>
      </c>
      <c r="E31" s="549">
        <v>60</v>
      </c>
      <c r="F31" s="549">
        <v>7</v>
      </c>
      <c r="G31" s="549"/>
      <c r="H31" s="549"/>
      <c r="I31" s="526">
        <f>SUM(B31:H31)</f>
        <v>293</v>
      </c>
      <c r="J31" s="133"/>
      <c r="K31" s="133">
        <v>1</v>
      </c>
      <c r="L31" s="133">
        <f t="shared" ref="L31:L41" si="17">SUM(D31:H31)</f>
        <v>143</v>
      </c>
      <c r="M31" s="133"/>
      <c r="N31" s="133"/>
      <c r="O31" s="133">
        <f t="shared" ref="O31:O36" si="18">C31+D31+E31+F31+G31</f>
        <v>198</v>
      </c>
      <c r="P31" s="129" t="s">
        <v>21</v>
      </c>
      <c r="Q31" s="49">
        <f t="shared" ref="Q31:V31" si="19">SUM(Q25,Q30)</f>
        <v>0</v>
      </c>
      <c r="R31" s="49">
        <f t="shared" si="19"/>
        <v>2764</v>
      </c>
      <c r="S31" s="49">
        <f t="shared" si="19"/>
        <v>316</v>
      </c>
      <c r="T31" s="49">
        <f t="shared" si="19"/>
        <v>1</v>
      </c>
      <c r="U31" s="49">
        <f t="shared" si="19"/>
        <v>6</v>
      </c>
      <c r="V31" s="49">
        <f t="shared" si="19"/>
        <v>3087</v>
      </c>
      <c r="W31" s="131"/>
      <c r="X31" s="131"/>
      <c r="Y31" s="306">
        <v>93</v>
      </c>
      <c r="Z31" s="301">
        <v>69</v>
      </c>
      <c r="AA31" s="301">
        <v>72</v>
      </c>
      <c r="AB31" s="301">
        <v>70</v>
      </c>
      <c r="AC31" s="301">
        <v>51</v>
      </c>
    </row>
    <row r="32" spans="1:30" ht="21" customHeight="1">
      <c r="A32" s="226" t="s">
        <v>72</v>
      </c>
      <c r="B32" s="226">
        <v>100</v>
      </c>
      <c r="C32" s="348">
        <v>72</v>
      </c>
      <c r="D32" s="550">
        <v>67</v>
      </c>
      <c r="E32" s="551">
        <v>70</v>
      </c>
      <c r="F32" s="551">
        <v>8</v>
      </c>
      <c r="G32" s="551"/>
      <c r="H32" s="551"/>
      <c r="I32" s="529">
        <f t="shared" ref="I32:I41" si="20">SUM(B32:H32)</f>
        <v>317</v>
      </c>
      <c r="J32" s="133"/>
      <c r="K32" s="133">
        <v>2</v>
      </c>
      <c r="L32" s="133">
        <f t="shared" si="17"/>
        <v>145</v>
      </c>
      <c r="M32" s="133"/>
      <c r="N32" s="133"/>
      <c r="O32" s="133">
        <f t="shared" si="18"/>
        <v>217</v>
      </c>
      <c r="P32" s="136"/>
      <c r="Q32" s="847">
        <f>Q31+R31+S31</f>
        <v>3080</v>
      </c>
      <c r="R32" s="848"/>
      <c r="S32" s="849"/>
      <c r="T32" s="88"/>
      <c r="U32" s="88"/>
      <c r="V32" s="88"/>
      <c r="W32" s="131"/>
      <c r="X32" s="131"/>
      <c r="Y32" s="306">
        <v>88</v>
      </c>
      <c r="Z32" s="301">
        <v>69</v>
      </c>
      <c r="AA32" s="301">
        <v>61</v>
      </c>
      <c r="AB32" s="301">
        <v>37</v>
      </c>
      <c r="AC32" s="301">
        <v>24</v>
      </c>
    </row>
    <row r="33" spans="1:31" ht="21" customHeight="1">
      <c r="A33" s="226" t="s">
        <v>73</v>
      </c>
      <c r="B33" s="71"/>
      <c r="C33" s="261"/>
      <c r="D33" s="552"/>
      <c r="E33" s="434"/>
      <c r="F33" s="434"/>
      <c r="G33" s="434"/>
      <c r="H33" s="434"/>
      <c r="I33" s="275">
        <f t="shared" si="20"/>
        <v>0</v>
      </c>
      <c r="J33" s="133"/>
      <c r="K33" s="133">
        <v>3</v>
      </c>
      <c r="L33" s="133">
        <f t="shared" si="17"/>
        <v>0</v>
      </c>
      <c r="M33" s="133"/>
      <c r="N33" s="133"/>
      <c r="O33" s="133">
        <f t="shared" si="18"/>
        <v>0</v>
      </c>
      <c r="P33" s="136"/>
      <c r="Q33" s="850" t="s">
        <v>244</v>
      </c>
      <c r="R33" s="851"/>
      <c r="S33" s="852"/>
      <c r="T33" s="88"/>
      <c r="U33" s="88"/>
      <c r="V33" s="88"/>
      <c r="W33" s="131"/>
      <c r="X33" s="131"/>
      <c r="Y33" s="306"/>
      <c r="Z33" s="301">
        <v>42</v>
      </c>
      <c r="AA33" s="301">
        <v>61</v>
      </c>
      <c r="AB33" s="301">
        <v>31</v>
      </c>
      <c r="AC33" s="301">
        <v>6</v>
      </c>
    </row>
    <row r="34" spans="1:31" ht="21" customHeight="1">
      <c r="A34" s="226" t="s">
        <v>54</v>
      </c>
      <c r="B34" s="226">
        <v>38</v>
      </c>
      <c r="C34" s="348">
        <v>28</v>
      </c>
      <c r="D34" s="550">
        <v>32</v>
      </c>
      <c r="E34" s="551">
        <v>35</v>
      </c>
      <c r="F34" s="551">
        <v>8</v>
      </c>
      <c r="G34" s="551"/>
      <c r="H34" s="551"/>
      <c r="I34" s="529">
        <f t="shared" si="20"/>
        <v>141</v>
      </c>
      <c r="J34" s="133"/>
      <c r="K34" s="133">
        <v>4</v>
      </c>
      <c r="L34" s="133">
        <f t="shared" si="17"/>
        <v>75</v>
      </c>
      <c r="M34" s="133"/>
      <c r="N34" s="133"/>
      <c r="O34" s="133">
        <f t="shared" si="18"/>
        <v>103</v>
      </c>
      <c r="P34" s="130"/>
      <c r="Q34" s="131"/>
      <c r="R34" s="131"/>
      <c r="S34" s="131"/>
      <c r="T34" s="131"/>
      <c r="U34" s="131"/>
      <c r="V34" s="131"/>
      <c r="W34" s="131"/>
      <c r="X34" s="131"/>
      <c r="Y34" s="306">
        <v>36</v>
      </c>
      <c r="Z34" s="301"/>
      <c r="AA34" s="301"/>
      <c r="AB34" s="301"/>
      <c r="AC34" s="301">
        <v>1</v>
      </c>
    </row>
    <row r="35" spans="1:31" ht="21" customHeight="1">
      <c r="A35" s="226" t="s">
        <v>60</v>
      </c>
      <c r="B35" s="226">
        <v>59</v>
      </c>
      <c r="C35" s="348">
        <v>24</v>
      </c>
      <c r="D35" s="550">
        <v>49</v>
      </c>
      <c r="E35" s="551">
        <v>21</v>
      </c>
      <c r="F35" s="551">
        <v>12</v>
      </c>
      <c r="G35" s="551"/>
      <c r="H35" s="551"/>
      <c r="I35" s="529">
        <f t="shared" si="20"/>
        <v>165</v>
      </c>
      <c r="J35" s="133"/>
      <c r="K35" s="133">
        <v>5</v>
      </c>
      <c r="L35" s="133">
        <f t="shared" si="17"/>
        <v>82</v>
      </c>
      <c r="M35" s="133"/>
      <c r="N35" s="133"/>
      <c r="O35" s="133">
        <f t="shared" si="18"/>
        <v>106</v>
      </c>
      <c r="P35" s="130"/>
      <c r="Q35" s="131"/>
      <c r="R35" s="131"/>
      <c r="S35" s="131"/>
      <c r="T35" s="131"/>
      <c r="U35" s="131"/>
      <c r="V35" s="131"/>
      <c r="W35" s="131"/>
      <c r="X35" s="131"/>
      <c r="Y35" s="306">
        <v>27</v>
      </c>
      <c r="Z35" s="301">
        <v>23</v>
      </c>
      <c r="AA35" s="301">
        <v>45</v>
      </c>
      <c r="AB35" s="301">
        <v>38</v>
      </c>
      <c r="AC35" s="301">
        <v>10</v>
      </c>
    </row>
    <row r="36" spans="1:31" ht="21" customHeight="1">
      <c r="A36" s="226" t="s">
        <v>62</v>
      </c>
      <c r="B36" s="226">
        <v>59</v>
      </c>
      <c r="C36" s="348">
        <v>20</v>
      </c>
      <c r="D36" s="550">
        <v>31</v>
      </c>
      <c r="E36" s="551">
        <v>25</v>
      </c>
      <c r="F36" s="551"/>
      <c r="G36" s="551"/>
      <c r="H36" s="551"/>
      <c r="I36" s="529">
        <f t="shared" si="20"/>
        <v>135</v>
      </c>
      <c r="J36" s="133"/>
      <c r="K36" s="133">
        <v>6</v>
      </c>
      <c r="L36" s="133">
        <f t="shared" si="17"/>
        <v>56</v>
      </c>
      <c r="M36" s="133"/>
      <c r="N36" s="133"/>
      <c r="O36" s="133">
        <f t="shared" si="18"/>
        <v>76</v>
      </c>
      <c r="P36" s="130"/>
      <c r="Q36" s="131"/>
      <c r="R36" s="131"/>
      <c r="S36" s="131"/>
      <c r="T36" s="131"/>
      <c r="U36" s="131"/>
      <c r="V36" s="131"/>
      <c r="W36" s="131"/>
      <c r="X36" s="131"/>
      <c r="Y36" s="306">
        <v>43</v>
      </c>
      <c r="Z36" s="301">
        <v>27</v>
      </c>
      <c r="AA36" s="301">
        <v>37</v>
      </c>
      <c r="AB36" s="301">
        <v>36</v>
      </c>
      <c r="AC36" s="301"/>
    </row>
    <row r="37" spans="1:31" ht="21" hidden="1" customHeight="1">
      <c r="A37" s="71" t="s">
        <v>75</v>
      </c>
      <c r="B37" s="71"/>
      <c r="C37" s="261"/>
      <c r="D37" s="553"/>
      <c r="E37" s="434"/>
      <c r="F37" s="434"/>
      <c r="G37" s="434"/>
      <c r="H37" s="434"/>
      <c r="I37" s="275">
        <f t="shared" si="20"/>
        <v>0</v>
      </c>
      <c r="J37" s="131"/>
      <c r="K37" s="131"/>
      <c r="L37" s="131">
        <f t="shared" si="17"/>
        <v>0</v>
      </c>
      <c r="M37" s="131"/>
      <c r="N37" s="131"/>
      <c r="O37" s="131"/>
      <c r="P37" s="130"/>
      <c r="Q37" s="131"/>
      <c r="R37" s="131"/>
      <c r="S37" s="131"/>
      <c r="T37" s="131"/>
      <c r="U37" s="131"/>
      <c r="V37" s="131"/>
      <c r="W37" s="131"/>
      <c r="X37" s="131"/>
      <c r="Y37" s="306"/>
      <c r="Z37" s="301"/>
      <c r="AA37" s="301"/>
      <c r="AB37" s="301"/>
      <c r="AC37" s="301"/>
    </row>
    <row r="38" spans="1:31" ht="21" customHeight="1">
      <c r="A38" s="226" t="s">
        <v>76</v>
      </c>
      <c r="B38" s="226">
        <v>77</v>
      </c>
      <c r="C38" s="348">
        <v>60</v>
      </c>
      <c r="D38" s="550">
        <v>36</v>
      </c>
      <c r="E38" s="551">
        <v>40</v>
      </c>
      <c r="F38" s="551">
        <v>7</v>
      </c>
      <c r="G38" s="551"/>
      <c r="H38" s="551"/>
      <c r="I38" s="529">
        <f t="shared" si="20"/>
        <v>220</v>
      </c>
      <c r="J38" s="133"/>
      <c r="K38" s="133">
        <v>7</v>
      </c>
      <c r="L38" s="133">
        <f t="shared" si="17"/>
        <v>83</v>
      </c>
      <c r="M38" s="133"/>
      <c r="N38" s="133"/>
      <c r="O38" s="133">
        <f>C38+D38+E38+F38+G38</f>
        <v>143</v>
      </c>
      <c r="P38" s="130"/>
      <c r="Q38" s="131"/>
      <c r="R38" s="131"/>
      <c r="S38" s="131"/>
      <c r="T38" s="131"/>
      <c r="U38" s="131"/>
      <c r="V38" s="131"/>
      <c r="W38" s="131"/>
      <c r="X38" s="131"/>
      <c r="Y38" s="306">
        <v>53</v>
      </c>
      <c r="Z38" s="301">
        <v>37</v>
      </c>
      <c r="AA38" s="301">
        <v>100</v>
      </c>
      <c r="AB38" s="301">
        <v>46</v>
      </c>
      <c r="AC38" s="301">
        <v>12</v>
      </c>
    </row>
    <row r="39" spans="1:31" ht="21" customHeight="1">
      <c r="A39" s="223" t="s">
        <v>77</v>
      </c>
      <c r="B39" s="67"/>
      <c r="C39" s="268"/>
      <c r="D39" s="554"/>
      <c r="E39" s="439"/>
      <c r="F39" s="439"/>
      <c r="G39" s="439"/>
      <c r="H39" s="439"/>
      <c r="I39" s="275">
        <f t="shared" si="20"/>
        <v>0</v>
      </c>
      <c r="J39" s="131"/>
      <c r="K39" s="131">
        <v>8</v>
      </c>
      <c r="L39" s="131">
        <f t="shared" si="17"/>
        <v>0</v>
      </c>
      <c r="M39" s="131"/>
      <c r="N39" s="131"/>
      <c r="O39" s="131"/>
      <c r="P39" s="130"/>
      <c r="Q39" s="131"/>
      <c r="R39" s="131"/>
      <c r="S39" s="131"/>
      <c r="T39" s="131"/>
      <c r="U39" s="131"/>
      <c r="V39" s="131"/>
      <c r="W39" s="131"/>
      <c r="X39" s="131"/>
      <c r="Y39" s="306"/>
      <c r="Z39" s="301">
        <v>74</v>
      </c>
      <c r="AA39" s="301">
        <v>92</v>
      </c>
      <c r="AB39" s="301">
        <v>59</v>
      </c>
      <c r="AC39" s="301">
        <v>4</v>
      </c>
    </row>
    <row r="40" spans="1:31" ht="21" customHeight="1">
      <c r="A40" s="223" t="s">
        <v>78</v>
      </c>
      <c r="B40" s="223">
        <v>87</v>
      </c>
      <c r="C40" s="354">
        <v>77</v>
      </c>
      <c r="D40" s="548">
        <v>72</v>
      </c>
      <c r="E40" s="549">
        <v>78</v>
      </c>
      <c r="F40" s="549">
        <v>0</v>
      </c>
      <c r="G40" s="549"/>
      <c r="H40" s="549"/>
      <c r="I40" s="529">
        <f t="shared" si="20"/>
        <v>314</v>
      </c>
      <c r="J40" s="133"/>
      <c r="K40" s="133">
        <v>9</v>
      </c>
      <c r="L40" s="133">
        <f t="shared" si="17"/>
        <v>150</v>
      </c>
      <c r="M40" s="133"/>
      <c r="N40" s="133"/>
      <c r="O40" s="133">
        <f>C40+D40+E40+F40+G40</f>
        <v>227</v>
      </c>
      <c r="P40" s="130"/>
      <c r="Q40" s="131"/>
      <c r="R40" s="131"/>
      <c r="S40" s="131"/>
      <c r="T40" s="131"/>
      <c r="U40" s="131"/>
      <c r="V40" s="131"/>
      <c r="W40" s="131"/>
      <c r="X40" s="131"/>
      <c r="Y40" s="306">
        <v>80</v>
      </c>
      <c r="Z40" s="301"/>
      <c r="AA40" s="301"/>
      <c r="AB40" s="301"/>
      <c r="AC40" s="301"/>
    </row>
    <row r="41" spans="1:31" ht="21" customHeight="1">
      <c r="A41" s="223" t="s">
        <v>79</v>
      </c>
      <c r="B41" s="223">
        <v>56</v>
      </c>
      <c r="C41" s="354">
        <v>38</v>
      </c>
      <c r="D41" s="548">
        <v>45</v>
      </c>
      <c r="E41" s="549">
        <v>31</v>
      </c>
      <c r="F41" s="549">
        <v>3</v>
      </c>
      <c r="G41" s="549"/>
      <c r="H41" s="549"/>
      <c r="I41" s="539">
        <f t="shared" si="20"/>
        <v>173</v>
      </c>
      <c r="J41" s="133"/>
      <c r="K41" s="133">
        <v>10</v>
      </c>
      <c r="L41" s="133">
        <f t="shared" si="17"/>
        <v>79</v>
      </c>
      <c r="M41" s="133"/>
      <c r="N41" s="133"/>
      <c r="O41" s="133">
        <f>C41+D41+E41+F41+G41</f>
        <v>117</v>
      </c>
      <c r="P41" s="130"/>
      <c r="Q41" s="131"/>
      <c r="R41" s="131"/>
      <c r="S41" s="131"/>
      <c r="T41" s="131"/>
      <c r="U41" s="131"/>
      <c r="V41" s="131"/>
      <c r="W41" s="131"/>
      <c r="X41" s="131"/>
      <c r="Y41" s="306">
        <v>32</v>
      </c>
      <c r="Z41" s="301"/>
      <c r="AA41" s="301"/>
      <c r="AB41" s="301"/>
      <c r="AC41" s="301">
        <v>2</v>
      </c>
    </row>
    <row r="42" spans="1:31" ht="21" customHeight="1">
      <c r="A42" s="361" t="s">
        <v>6</v>
      </c>
      <c r="B42" s="49">
        <f>SUM(B31:B41)</f>
        <v>571</v>
      </c>
      <c r="C42" s="49">
        <f>SUM(C31:C41)</f>
        <v>374</v>
      </c>
      <c r="D42" s="49">
        <f t="shared" ref="D42:I42" si="21">SUM(D31:D41)</f>
        <v>408</v>
      </c>
      <c r="E42" s="49">
        <f t="shared" si="21"/>
        <v>360</v>
      </c>
      <c r="F42" s="49">
        <f t="shared" si="21"/>
        <v>45</v>
      </c>
      <c r="G42" s="49">
        <f t="shared" ref="G42" si="22">SUM(G31:G41)</f>
        <v>0</v>
      </c>
      <c r="H42" s="49">
        <f t="shared" si="21"/>
        <v>0</v>
      </c>
      <c r="I42" s="49">
        <f t="shared" si="21"/>
        <v>1758</v>
      </c>
      <c r="J42" s="135"/>
      <c r="K42" s="135"/>
      <c r="L42" s="135"/>
      <c r="M42" s="135"/>
      <c r="N42" s="135">
        <f>1+6+17+43</f>
        <v>67</v>
      </c>
      <c r="O42" s="135"/>
      <c r="P42" s="134"/>
      <c r="Q42" s="135"/>
      <c r="R42" s="135"/>
      <c r="S42" s="135"/>
      <c r="T42" s="135"/>
      <c r="U42" s="135"/>
      <c r="V42" s="135"/>
      <c r="W42" s="135"/>
      <c r="X42" s="135"/>
      <c r="Y42" s="306">
        <f>SUM(Y31:Y41)</f>
        <v>452</v>
      </c>
      <c r="Z42" s="301">
        <f>SUM(Z31:Z41)</f>
        <v>341</v>
      </c>
      <c r="AA42" s="301">
        <f>SUM(AA31:AA41)</f>
        <v>468</v>
      </c>
      <c r="AB42" s="301">
        <f>SUM(AB31:AB41)</f>
        <v>317</v>
      </c>
      <c r="AC42" s="301">
        <f>SUM(AC31:AC41)</f>
        <v>110</v>
      </c>
      <c r="AD42" s="301"/>
      <c r="AE42" s="301"/>
    </row>
    <row r="43" spans="1:31" ht="21" customHeight="1">
      <c r="A43" s="543" t="s">
        <v>14</v>
      </c>
      <c r="B43" s="543"/>
      <c r="C43" s="543"/>
      <c r="D43" s="541"/>
      <c r="E43" s="279"/>
      <c r="F43" s="279"/>
      <c r="G43" s="279"/>
      <c r="H43" s="279"/>
      <c r="I43" s="279"/>
      <c r="J43" s="88"/>
      <c r="K43" s="88"/>
      <c r="L43" s="88"/>
      <c r="M43" s="88"/>
      <c r="N43" s="88"/>
      <c r="O43" s="88"/>
      <c r="P43" s="136"/>
      <c r="Q43" s="88"/>
      <c r="R43" s="88"/>
      <c r="S43" s="88"/>
      <c r="T43" s="88"/>
      <c r="U43" s="88"/>
      <c r="V43" s="88"/>
      <c r="W43" s="88"/>
      <c r="X43" s="88"/>
    </row>
    <row r="44" spans="1:31" ht="21" customHeight="1">
      <c r="A44" s="547" t="s">
        <v>62</v>
      </c>
      <c r="B44" s="65">
        <v>1</v>
      </c>
      <c r="C44" s="65">
        <v>1</v>
      </c>
      <c r="D44" s="541">
        <v>5</v>
      </c>
      <c r="E44" s="279"/>
      <c r="F44" s="279">
        <v>2</v>
      </c>
      <c r="G44" s="279"/>
      <c r="H44" s="279"/>
      <c r="I44" s="275">
        <f>SUM(B44:H44)</f>
        <v>9</v>
      </c>
      <c r="J44" s="562" t="s">
        <v>81</v>
      </c>
      <c r="K44" s="446"/>
      <c r="L44" s="446"/>
      <c r="M44" s="446"/>
      <c r="N44" s="446"/>
      <c r="O44" s="446"/>
      <c r="P44" s="137"/>
      <c r="Q44" s="138"/>
      <c r="R44" s="138"/>
      <c r="S44" s="138"/>
      <c r="T44" s="138"/>
      <c r="U44" s="138"/>
      <c r="V44" s="138"/>
      <c r="W44" s="446"/>
      <c r="X44" s="446"/>
      <c r="Y44" s="306">
        <v>6</v>
      </c>
      <c r="Z44" s="301"/>
      <c r="AA44" s="301">
        <v>3</v>
      </c>
      <c r="AB44" s="301"/>
      <c r="AC44" s="301"/>
    </row>
    <row r="45" spans="1:31" ht="21" customHeight="1">
      <c r="A45" s="547" t="s">
        <v>82</v>
      </c>
      <c r="B45" s="65"/>
      <c r="C45" s="65"/>
      <c r="D45" s="541">
        <v>1</v>
      </c>
      <c r="E45" s="279"/>
      <c r="F45" s="279">
        <v>2</v>
      </c>
      <c r="G45" s="279"/>
      <c r="H45" s="279"/>
      <c r="I45" s="273">
        <f>SUM(B45:H45)</f>
        <v>3</v>
      </c>
      <c r="J45" s="562" t="s">
        <v>81</v>
      </c>
      <c r="K45" s="446"/>
      <c r="L45" s="446"/>
      <c r="M45" s="446"/>
      <c r="N45" s="446"/>
      <c r="O45" s="446"/>
      <c r="P45" s="137"/>
      <c r="Q45" s="138"/>
      <c r="R45" s="138"/>
      <c r="S45" s="138"/>
      <c r="T45" s="138"/>
      <c r="U45" s="138"/>
      <c r="V45" s="138"/>
      <c r="W45" s="446"/>
      <c r="X45" s="446"/>
      <c r="Y45" s="306">
        <v>2</v>
      </c>
      <c r="Z45" s="301"/>
      <c r="AA45" s="301">
        <v>3</v>
      </c>
      <c r="AB45" s="301"/>
      <c r="AC45" s="301"/>
    </row>
    <row r="46" spans="1:31" ht="21" customHeight="1">
      <c r="A46" s="60" t="s">
        <v>6</v>
      </c>
      <c r="B46" s="49">
        <f t="shared" ref="B46:I46" si="23">SUM(B44:B45)</f>
        <v>1</v>
      </c>
      <c r="C46" s="49">
        <f t="shared" si="23"/>
        <v>1</v>
      </c>
      <c r="D46" s="49">
        <f t="shared" si="23"/>
        <v>6</v>
      </c>
      <c r="E46" s="49">
        <f t="shared" si="23"/>
        <v>0</v>
      </c>
      <c r="F46" s="49">
        <f t="shared" si="23"/>
        <v>4</v>
      </c>
      <c r="G46" s="49">
        <f t="shared" si="23"/>
        <v>0</v>
      </c>
      <c r="H46" s="49">
        <f t="shared" si="23"/>
        <v>0</v>
      </c>
      <c r="I46" s="49">
        <f t="shared" si="23"/>
        <v>12</v>
      </c>
      <c r="J46" s="135"/>
      <c r="K46" s="135"/>
      <c r="L46" s="135"/>
      <c r="M46" s="135"/>
      <c r="N46" s="135"/>
      <c r="O46" s="135"/>
      <c r="P46" s="134"/>
      <c r="Q46" s="439">
        <v>21</v>
      </c>
      <c r="R46" s="439">
        <v>33</v>
      </c>
      <c r="S46" s="439">
        <f>4+2+1</f>
        <v>7</v>
      </c>
      <c r="T46" s="135">
        <f>SUM(Q46:S46)</f>
        <v>61</v>
      </c>
      <c r="U46" s="135"/>
      <c r="V46" s="135"/>
      <c r="W46" s="135"/>
      <c r="X46" s="135"/>
      <c r="Y46" s="306">
        <f>SUM(Y44:Y45)</f>
        <v>8</v>
      </c>
      <c r="AA46" s="301">
        <f>SUM(AA44:AA45)</f>
        <v>6</v>
      </c>
      <c r="AB46" s="301">
        <f>SUM(AB44:AB45)</f>
        <v>0</v>
      </c>
      <c r="AD46" s="306"/>
    </row>
    <row r="47" spans="1:31" ht="21" customHeight="1">
      <c r="A47" s="543" t="s">
        <v>16</v>
      </c>
      <c r="B47" s="543"/>
      <c r="C47" s="543"/>
      <c r="D47" s="541"/>
      <c r="E47" s="279"/>
      <c r="F47" s="279"/>
      <c r="G47" s="279"/>
      <c r="H47" s="279"/>
      <c r="I47" s="279"/>
      <c r="J47" s="88"/>
      <c r="K47" s="88"/>
      <c r="L47" s="88"/>
      <c r="M47" s="88"/>
      <c r="N47" s="88"/>
      <c r="O47" s="88"/>
      <c r="P47" s="136"/>
      <c r="Q47" s="439">
        <v>19</v>
      </c>
      <c r="R47" s="439">
        <v>20</v>
      </c>
      <c r="S47" s="439">
        <f>4+3+1</f>
        <v>8</v>
      </c>
      <c r="T47" s="135">
        <f t="shared" ref="T47:T50" si="24">SUM(Q47:S47)</f>
        <v>47</v>
      </c>
      <c r="U47" s="88"/>
      <c r="V47" s="88"/>
      <c r="W47" s="88"/>
      <c r="X47" s="88"/>
    </row>
    <row r="48" spans="1:31" ht="21" customHeight="1">
      <c r="A48" s="547" t="s">
        <v>62</v>
      </c>
      <c r="B48" s="65">
        <v>1</v>
      </c>
      <c r="C48" s="65">
        <v>1</v>
      </c>
      <c r="D48" s="541">
        <v>4</v>
      </c>
      <c r="E48" s="279"/>
      <c r="F48" s="279"/>
      <c r="G48" s="279">
        <v>2</v>
      </c>
      <c r="H48" s="279"/>
      <c r="I48" s="563">
        <f>SUM(B48:H48)</f>
        <v>8</v>
      </c>
      <c r="J48" s="88"/>
      <c r="K48" s="88"/>
      <c r="L48" s="88"/>
      <c r="M48" s="88"/>
      <c r="N48" s="88"/>
      <c r="O48" s="88"/>
      <c r="P48" s="136"/>
      <c r="Q48" s="439">
        <f>20+27</f>
        <v>47</v>
      </c>
      <c r="R48" s="439">
        <f>26+27+1</f>
        <v>54</v>
      </c>
      <c r="S48" s="439">
        <f>5+5+5</f>
        <v>15</v>
      </c>
      <c r="T48" s="135">
        <f t="shared" si="24"/>
        <v>116</v>
      </c>
      <c r="U48" s="88"/>
      <c r="V48" s="88"/>
      <c r="W48" s="88"/>
      <c r="X48" s="88"/>
    </row>
    <row r="49" spans="1:30" ht="21" customHeight="1">
      <c r="A49" s="60" t="s">
        <v>6</v>
      </c>
      <c r="B49" s="49">
        <f t="shared" ref="B49:I49" si="25">SUM(B48:B48)</f>
        <v>1</v>
      </c>
      <c r="C49" s="49">
        <f t="shared" si="25"/>
        <v>1</v>
      </c>
      <c r="D49" s="49">
        <f t="shared" si="25"/>
        <v>4</v>
      </c>
      <c r="E49" s="49">
        <f t="shared" si="25"/>
        <v>0</v>
      </c>
      <c r="F49" s="49">
        <f t="shared" si="25"/>
        <v>0</v>
      </c>
      <c r="G49" s="49">
        <f t="shared" ref="G49" si="26">SUM(G48:G48)</f>
        <v>2</v>
      </c>
      <c r="H49" s="49">
        <f t="shared" si="25"/>
        <v>0</v>
      </c>
      <c r="I49" s="49">
        <f t="shared" si="25"/>
        <v>8</v>
      </c>
      <c r="J49" s="135"/>
      <c r="K49" s="135"/>
      <c r="L49" s="135"/>
      <c r="M49" s="135"/>
      <c r="N49" s="135"/>
      <c r="O49" s="135"/>
      <c r="P49" s="134"/>
      <c r="Q49" s="439">
        <v>12</v>
      </c>
      <c r="R49" s="439">
        <v>11</v>
      </c>
      <c r="S49" s="439">
        <v>5</v>
      </c>
      <c r="T49" s="135">
        <f t="shared" si="24"/>
        <v>28</v>
      </c>
      <c r="U49" s="135"/>
      <c r="V49" s="135"/>
      <c r="W49" s="135"/>
      <c r="X49" s="135"/>
    </row>
    <row r="50" spans="1:30" ht="21" customHeight="1">
      <c r="A50" s="266" t="s">
        <v>83</v>
      </c>
      <c r="B50" s="488">
        <f t="shared" ref="B50:I50" si="27">SUM(B63,B69,B73)</f>
        <v>272</v>
      </c>
      <c r="C50" s="488">
        <f t="shared" si="27"/>
        <v>235</v>
      </c>
      <c r="D50" s="488">
        <f t="shared" si="27"/>
        <v>202</v>
      </c>
      <c r="E50" s="488">
        <f t="shared" si="27"/>
        <v>184</v>
      </c>
      <c r="F50" s="488">
        <f t="shared" si="27"/>
        <v>46</v>
      </c>
      <c r="G50" s="555">
        <f t="shared" si="27"/>
        <v>0</v>
      </c>
      <c r="H50" s="488">
        <f t="shared" si="27"/>
        <v>0</v>
      </c>
      <c r="I50" s="488">
        <f t="shared" si="27"/>
        <v>939</v>
      </c>
      <c r="J50" s="140"/>
      <c r="K50" s="140"/>
      <c r="L50" s="140"/>
      <c r="M50" s="140"/>
      <c r="N50" s="140"/>
      <c r="O50" s="140"/>
      <c r="P50" s="502">
        <v>918</v>
      </c>
      <c r="Q50" s="439">
        <f>19+7</f>
        <v>26</v>
      </c>
      <c r="R50" s="439">
        <v>14</v>
      </c>
      <c r="S50" s="439">
        <f>2+2</f>
        <v>4</v>
      </c>
      <c r="T50" s="135">
        <f t="shared" si="24"/>
        <v>44</v>
      </c>
      <c r="U50" s="140"/>
      <c r="V50" s="140"/>
      <c r="W50" s="140"/>
      <c r="X50" s="140"/>
      <c r="AA50" s="301">
        <f>I50</f>
        <v>939</v>
      </c>
      <c r="AD50" s="47">
        <f>1294+870</f>
        <v>2164</v>
      </c>
    </row>
    <row r="51" spans="1:30" ht="21" customHeight="1">
      <c r="A51" s="223" t="s">
        <v>85</v>
      </c>
      <c r="B51" s="67"/>
      <c r="C51" s="67"/>
      <c r="D51" s="548">
        <v>16</v>
      </c>
      <c r="E51" s="549">
        <v>14</v>
      </c>
      <c r="F51" s="549">
        <v>14</v>
      </c>
      <c r="G51" s="549"/>
      <c r="H51" s="549"/>
      <c r="I51" s="529">
        <f t="shared" ref="I51:I62" si="28">SUM(B51:H51)</f>
        <v>44</v>
      </c>
      <c r="J51" s="131"/>
      <c r="K51" s="131"/>
      <c r="L51" s="131">
        <f t="shared" ref="L51:L62" si="29">SUM(D51:H51)</f>
        <v>44</v>
      </c>
      <c r="M51" s="131"/>
      <c r="N51" s="131"/>
      <c r="O51" s="131">
        <f t="shared" ref="O51:O56" si="30">C51+D51+E51+F51+G51</f>
        <v>44</v>
      </c>
      <c r="P51" s="517" t="s">
        <v>86</v>
      </c>
      <c r="Q51" s="131"/>
      <c r="R51" s="131"/>
      <c r="S51" s="131"/>
      <c r="T51" s="131">
        <f>SUM(T46:T50)</f>
        <v>296</v>
      </c>
      <c r="U51" s="131"/>
      <c r="V51" s="131"/>
      <c r="W51" s="131"/>
      <c r="X51" s="131"/>
      <c r="Y51" s="306">
        <v>45</v>
      </c>
      <c r="Z51" s="301">
        <v>21</v>
      </c>
      <c r="AA51" s="301">
        <v>22</v>
      </c>
      <c r="AB51" s="301">
        <v>18</v>
      </c>
      <c r="AC51" s="301">
        <v>7</v>
      </c>
    </row>
    <row r="52" spans="1:30" ht="21" customHeight="1">
      <c r="A52" s="223" t="s">
        <v>245</v>
      </c>
      <c r="B52" s="223">
        <v>37</v>
      </c>
      <c r="C52" s="223">
        <v>17</v>
      </c>
      <c r="D52" s="548"/>
      <c r="E52" s="549"/>
      <c r="F52" s="549"/>
      <c r="G52" s="549"/>
      <c r="H52" s="549"/>
      <c r="I52" s="529">
        <f t="shared" si="28"/>
        <v>54</v>
      </c>
      <c r="J52" s="133"/>
      <c r="K52" s="133"/>
      <c r="L52" s="133">
        <f t="shared" si="29"/>
        <v>0</v>
      </c>
      <c r="M52" s="133"/>
      <c r="N52" s="133"/>
      <c r="O52" s="133">
        <f t="shared" si="30"/>
        <v>17</v>
      </c>
      <c r="P52" s="130"/>
      <c r="Q52" s="131"/>
      <c r="R52" s="131"/>
      <c r="S52" s="131"/>
      <c r="T52" s="131"/>
      <c r="U52" s="131"/>
      <c r="V52" s="131"/>
      <c r="W52" s="131"/>
      <c r="X52" s="131"/>
      <c r="Y52" s="306">
        <v>85</v>
      </c>
      <c r="Z52" s="301">
        <v>52</v>
      </c>
      <c r="AA52" s="301">
        <v>51</v>
      </c>
      <c r="AB52" s="301">
        <v>53</v>
      </c>
      <c r="AC52" s="301">
        <v>15</v>
      </c>
    </row>
    <row r="53" spans="1:30" ht="21" customHeight="1">
      <c r="A53" s="223" t="s">
        <v>246</v>
      </c>
      <c r="B53" s="223">
        <v>49</v>
      </c>
      <c r="C53" s="223">
        <v>59</v>
      </c>
      <c r="D53" s="548"/>
      <c r="E53" s="549"/>
      <c r="F53" s="549"/>
      <c r="G53" s="549"/>
      <c r="H53" s="549"/>
      <c r="I53" s="529">
        <f t="shared" si="28"/>
        <v>108</v>
      </c>
      <c r="J53" s="133"/>
      <c r="K53" s="133"/>
      <c r="L53" s="133">
        <f t="shared" ref="L53" si="31">SUM(D53:H53)</f>
        <v>0</v>
      </c>
      <c r="M53" s="133"/>
      <c r="N53" s="133"/>
      <c r="O53" s="133">
        <f t="shared" si="30"/>
        <v>59</v>
      </c>
      <c r="P53" s="130"/>
      <c r="Q53" s="131"/>
      <c r="R53" s="131"/>
      <c r="S53" s="131"/>
      <c r="T53" s="131"/>
      <c r="U53" s="131"/>
      <c r="V53" s="131"/>
      <c r="W53" s="131"/>
      <c r="X53" s="131"/>
      <c r="Y53" s="306">
        <v>85</v>
      </c>
      <c r="Z53" s="301">
        <v>52</v>
      </c>
      <c r="AA53" s="301">
        <v>51</v>
      </c>
      <c r="AB53" s="301">
        <v>53</v>
      </c>
      <c r="AC53" s="301">
        <v>15</v>
      </c>
    </row>
    <row r="54" spans="1:30" ht="21" customHeight="1">
      <c r="A54" s="223" t="s">
        <v>247</v>
      </c>
      <c r="B54" s="223">
        <v>34</v>
      </c>
      <c r="C54" s="223">
        <v>26</v>
      </c>
      <c r="D54" s="548"/>
      <c r="E54" s="549"/>
      <c r="F54" s="549"/>
      <c r="G54" s="549"/>
      <c r="H54" s="549"/>
      <c r="I54" s="529">
        <f t="shared" si="28"/>
        <v>60</v>
      </c>
      <c r="J54" s="133"/>
      <c r="K54" s="133"/>
      <c r="L54" s="133"/>
      <c r="M54" s="133"/>
      <c r="N54" s="133"/>
      <c r="O54" s="133">
        <f t="shared" si="30"/>
        <v>26</v>
      </c>
      <c r="P54" s="130"/>
      <c r="Q54" s="131"/>
      <c r="R54" s="131"/>
      <c r="S54" s="131"/>
      <c r="T54" s="131"/>
      <c r="U54" s="131"/>
      <c r="V54" s="131"/>
      <c r="W54" s="131"/>
      <c r="X54" s="131"/>
      <c r="Y54" s="306"/>
      <c r="Z54" s="301"/>
      <c r="AA54" s="301"/>
      <c r="AB54" s="301"/>
      <c r="AC54" s="301"/>
    </row>
    <row r="55" spans="1:30" ht="21" customHeight="1">
      <c r="A55" s="223" t="s">
        <v>248</v>
      </c>
      <c r="B55" s="223">
        <v>71</v>
      </c>
      <c r="C55" s="223">
        <v>45</v>
      </c>
      <c r="D55" s="548"/>
      <c r="E55" s="549"/>
      <c r="F55" s="549"/>
      <c r="G55" s="549"/>
      <c r="H55" s="549"/>
      <c r="I55" s="529">
        <f t="shared" si="28"/>
        <v>116</v>
      </c>
      <c r="J55" s="133"/>
      <c r="K55" s="133"/>
      <c r="L55" s="133"/>
      <c r="M55" s="133"/>
      <c r="N55" s="133"/>
      <c r="O55" s="133">
        <f t="shared" si="30"/>
        <v>45</v>
      </c>
      <c r="P55" s="130"/>
      <c r="Q55" s="131"/>
      <c r="R55" s="131"/>
      <c r="S55" s="131"/>
      <c r="T55" s="131"/>
      <c r="U55" s="131"/>
      <c r="V55" s="131"/>
      <c r="W55" s="131"/>
      <c r="X55" s="131"/>
      <c r="Y55" s="306"/>
      <c r="Z55" s="301"/>
      <c r="AA55" s="301"/>
      <c r="AB55" s="301"/>
      <c r="AC55" s="301"/>
    </row>
    <row r="56" spans="1:30" ht="21" customHeight="1">
      <c r="A56" s="223" t="s">
        <v>87</v>
      </c>
      <c r="B56" s="67"/>
      <c r="C56" s="67"/>
      <c r="D56" s="548">
        <v>61</v>
      </c>
      <c r="E56" s="549">
        <v>58</v>
      </c>
      <c r="F56" s="549">
        <v>4</v>
      </c>
      <c r="G56" s="549"/>
      <c r="H56" s="549"/>
      <c r="I56" s="529">
        <f t="shared" si="28"/>
        <v>123</v>
      </c>
      <c r="J56" s="133"/>
      <c r="K56" s="133"/>
      <c r="L56" s="133">
        <f t="shared" si="29"/>
        <v>123</v>
      </c>
      <c r="M56" s="133"/>
      <c r="N56" s="133"/>
      <c r="O56" s="133">
        <f t="shared" si="30"/>
        <v>123</v>
      </c>
      <c r="P56" s="130"/>
      <c r="Q56" s="131"/>
      <c r="R56" s="131"/>
      <c r="S56" s="131"/>
      <c r="T56" s="131"/>
      <c r="U56" s="131"/>
      <c r="V56" s="131"/>
      <c r="W56" s="131"/>
      <c r="X56" s="131"/>
      <c r="Y56" s="306">
        <v>85</v>
      </c>
      <c r="Z56" s="301">
        <v>52</v>
      </c>
      <c r="AA56" s="301">
        <v>51</v>
      </c>
      <c r="AB56" s="301">
        <v>53</v>
      </c>
      <c r="AC56" s="301">
        <v>15</v>
      </c>
    </row>
    <row r="57" spans="1:30" ht="21" customHeight="1">
      <c r="A57" s="223" t="s">
        <v>89</v>
      </c>
      <c r="B57" s="67"/>
      <c r="C57" s="67"/>
      <c r="D57" s="554"/>
      <c r="E57" s="549">
        <v>10</v>
      </c>
      <c r="F57" s="549">
        <v>2</v>
      </c>
      <c r="G57" s="549"/>
      <c r="H57" s="549"/>
      <c r="I57" s="529">
        <f t="shared" si="28"/>
        <v>12</v>
      </c>
      <c r="J57" s="133"/>
      <c r="K57" s="133"/>
      <c r="L57" s="133">
        <f t="shared" si="29"/>
        <v>12</v>
      </c>
      <c r="M57" s="133"/>
      <c r="N57" s="133"/>
      <c r="O57" s="133">
        <f t="shared" ref="O57:O62" si="32">C57+D57+E57+F57+G57</f>
        <v>12</v>
      </c>
      <c r="P57" s="130"/>
      <c r="Q57" s="131"/>
      <c r="R57" s="131"/>
      <c r="S57" s="131"/>
      <c r="T57" s="131"/>
      <c r="U57" s="131"/>
      <c r="V57" s="131"/>
      <c r="W57" s="131"/>
      <c r="X57" s="131"/>
      <c r="Y57" s="306">
        <v>36</v>
      </c>
      <c r="Z57" s="301"/>
      <c r="AA57" s="301"/>
      <c r="AB57" s="301"/>
      <c r="AC57" s="301"/>
    </row>
    <row r="58" spans="1:30" ht="21" customHeight="1">
      <c r="A58" s="223" t="s">
        <v>90</v>
      </c>
      <c r="B58" s="67"/>
      <c r="C58" s="67"/>
      <c r="D58" s="554"/>
      <c r="E58" s="549">
        <v>16</v>
      </c>
      <c r="F58" s="549">
        <v>1</v>
      </c>
      <c r="G58" s="549"/>
      <c r="H58" s="549"/>
      <c r="I58" s="529">
        <f t="shared" si="28"/>
        <v>17</v>
      </c>
      <c r="J58" s="133"/>
      <c r="K58" s="133"/>
      <c r="L58" s="133">
        <f t="shared" si="29"/>
        <v>17</v>
      </c>
      <c r="M58" s="133"/>
      <c r="N58" s="133"/>
      <c r="O58" s="133">
        <f t="shared" si="32"/>
        <v>17</v>
      </c>
      <c r="P58" s="130"/>
      <c r="Q58" s="131"/>
      <c r="R58" s="131"/>
      <c r="S58" s="131"/>
      <c r="T58" s="131"/>
      <c r="U58" s="131"/>
      <c r="V58" s="131"/>
      <c r="W58" s="131"/>
      <c r="X58" s="131"/>
      <c r="Y58" s="306">
        <v>46</v>
      </c>
      <c r="Z58" s="301"/>
      <c r="AA58" s="301"/>
      <c r="AB58" s="301"/>
      <c r="AC58" s="301"/>
    </row>
    <row r="59" spans="1:30" ht="21" customHeight="1">
      <c r="A59" s="223" t="s">
        <v>91</v>
      </c>
      <c r="B59" s="67"/>
      <c r="C59" s="67"/>
      <c r="D59" s="548">
        <v>34</v>
      </c>
      <c r="E59" s="549">
        <v>32</v>
      </c>
      <c r="F59" s="549">
        <v>3</v>
      </c>
      <c r="G59" s="549"/>
      <c r="H59" s="549"/>
      <c r="I59" s="529">
        <f t="shared" si="28"/>
        <v>69</v>
      </c>
      <c r="J59" s="133"/>
      <c r="K59" s="133"/>
      <c r="L59" s="133">
        <f t="shared" si="29"/>
        <v>69</v>
      </c>
      <c r="M59" s="133"/>
      <c r="N59" s="133"/>
      <c r="O59" s="133">
        <f t="shared" si="32"/>
        <v>69</v>
      </c>
      <c r="P59" s="130"/>
      <c r="Q59" s="131"/>
      <c r="R59" s="131"/>
      <c r="S59" s="131"/>
      <c r="T59" s="131"/>
      <c r="U59" s="131"/>
      <c r="V59" s="131"/>
      <c r="W59" s="131"/>
      <c r="X59" s="131"/>
      <c r="Y59" s="306">
        <v>44</v>
      </c>
      <c r="Z59" s="301"/>
      <c r="AA59" s="301"/>
      <c r="AB59" s="301"/>
      <c r="AC59" s="301"/>
    </row>
    <row r="60" spans="1:30" ht="21" customHeight="1">
      <c r="A60" s="223" t="s">
        <v>92</v>
      </c>
      <c r="B60" s="223">
        <v>63</v>
      </c>
      <c r="C60" s="223">
        <v>31</v>
      </c>
      <c r="D60" s="548">
        <v>42</v>
      </c>
      <c r="E60" s="549">
        <v>29</v>
      </c>
      <c r="F60" s="549">
        <v>5</v>
      </c>
      <c r="G60" s="549"/>
      <c r="H60" s="549"/>
      <c r="I60" s="529">
        <f t="shared" si="28"/>
        <v>170</v>
      </c>
      <c r="J60" s="133"/>
      <c r="K60" s="133"/>
      <c r="L60" s="133">
        <f t="shared" si="29"/>
        <v>76</v>
      </c>
      <c r="M60" s="133"/>
      <c r="N60" s="133"/>
      <c r="O60" s="133">
        <f t="shared" si="32"/>
        <v>107</v>
      </c>
      <c r="P60" s="130"/>
      <c r="Q60" s="131">
        <f>I60+I61</f>
        <v>244</v>
      </c>
      <c r="R60" s="131"/>
      <c r="S60" s="131"/>
      <c r="T60" s="131"/>
      <c r="U60" s="131"/>
      <c r="V60" s="131"/>
      <c r="W60" s="131"/>
      <c r="X60" s="131"/>
      <c r="Y60" s="306"/>
      <c r="Z60" s="301">
        <v>13</v>
      </c>
      <c r="AA60" s="301">
        <v>12</v>
      </c>
      <c r="AB60" s="301">
        <v>8</v>
      </c>
      <c r="AC60" s="301"/>
    </row>
    <row r="61" spans="1:30" ht="21" customHeight="1">
      <c r="A61" s="223" t="s">
        <v>93</v>
      </c>
      <c r="B61" s="223">
        <v>18</v>
      </c>
      <c r="C61" s="223">
        <v>10</v>
      </c>
      <c r="D61" s="548">
        <v>13</v>
      </c>
      <c r="E61" s="549">
        <v>17</v>
      </c>
      <c r="F61" s="549">
        <v>16</v>
      </c>
      <c r="G61" s="549"/>
      <c r="H61" s="549"/>
      <c r="I61" s="529">
        <f t="shared" si="28"/>
        <v>74</v>
      </c>
      <c r="J61" s="133"/>
      <c r="K61" s="133"/>
      <c r="L61" s="133">
        <f t="shared" si="29"/>
        <v>46</v>
      </c>
      <c r="M61" s="133"/>
      <c r="N61" s="133"/>
      <c r="O61" s="133">
        <f t="shared" si="32"/>
        <v>56</v>
      </c>
      <c r="P61" s="130"/>
      <c r="Q61" s="131"/>
      <c r="R61" s="131"/>
      <c r="S61" s="131"/>
      <c r="T61" s="131"/>
      <c r="U61" s="131"/>
      <c r="V61" s="131"/>
      <c r="W61" s="131"/>
      <c r="X61" s="131"/>
      <c r="Y61" s="306"/>
      <c r="Z61" s="301">
        <v>13</v>
      </c>
      <c r="AA61" s="301">
        <v>12</v>
      </c>
      <c r="AB61" s="301">
        <v>8</v>
      </c>
      <c r="AC61" s="301"/>
    </row>
    <row r="62" spans="1:30" ht="21" customHeight="1">
      <c r="A62" s="223" t="s">
        <v>94</v>
      </c>
      <c r="B62" s="67"/>
      <c r="C62" s="67"/>
      <c r="D62" s="548">
        <v>19</v>
      </c>
      <c r="E62" s="549">
        <v>7</v>
      </c>
      <c r="F62" s="549">
        <v>1</v>
      </c>
      <c r="G62" s="549"/>
      <c r="H62" s="549"/>
      <c r="I62" s="529">
        <f t="shared" si="28"/>
        <v>27</v>
      </c>
      <c r="J62" s="131"/>
      <c r="K62" s="131"/>
      <c r="L62" s="131">
        <f t="shared" si="29"/>
        <v>27</v>
      </c>
      <c r="M62" s="131"/>
      <c r="N62" s="131"/>
      <c r="O62" s="131">
        <f t="shared" si="32"/>
        <v>27</v>
      </c>
      <c r="P62" s="130"/>
      <c r="Q62" s="131"/>
      <c r="R62" s="131"/>
      <c r="S62" s="131"/>
      <c r="T62" s="131"/>
      <c r="U62" s="131"/>
      <c r="V62" s="131"/>
      <c r="W62" s="131"/>
      <c r="X62" s="131"/>
      <c r="Y62" s="306">
        <v>32</v>
      </c>
      <c r="Z62" s="301">
        <v>21</v>
      </c>
      <c r="AA62" s="301">
        <v>17</v>
      </c>
      <c r="AB62" s="301">
        <v>22</v>
      </c>
      <c r="AC62" s="301">
        <v>4</v>
      </c>
    </row>
    <row r="63" spans="1:30" ht="21" customHeight="1">
      <c r="A63" s="556" t="s">
        <v>96</v>
      </c>
      <c r="B63" s="488">
        <f t="shared" ref="B63:I63" si="33">SUM(B51:B62)</f>
        <v>272</v>
      </c>
      <c r="C63" s="488">
        <f t="shared" si="33"/>
        <v>188</v>
      </c>
      <c r="D63" s="488">
        <f t="shared" si="33"/>
        <v>185</v>
      </c>
      <c r="E63" s="488">
        <f t="shared" si="33"/>
        <v>183</v>
      </c>
      <c r="F63" s="488">
        <f t="shared" si="33"/>
        <v>46</v>
      </c>
      <c r="G63" s="488">
        <f t="shared" si="33"/>
        <v>0</v>
      </c>
      <c r="H63" s="488">
        <f t="shared" si="33"/>
        <v>0</v>
      </c>
      <c r="I63" s="488">
        <f t="shared" si="33"/>
        <v>874</v>
      </c>
      <c r="J63" s="140"/>
      <c r="K63" s="140"/>
      <c r="L63" s="140"/>
      <c r="M63" s="140"/>
      <c r="N63" s="140"/>
      <c r="O63" s="140"/>
      <c r="P63" s="139"/>
      <c r="Q63" s="140">
        <f>E63+E69</f>
        <v>184</v>
      </c>
      <c r="R63" s="140">
        <f>D63+D69</f>
        <v>202</v>
      </c>
      <c r="S63" s="140">
        <f>C63+C69</f>
        <v>235</v>
      </c>
      <c r="T63" s="140">
        <f>I63+I69</f>
        <v>939</v>
      </c>
      <c r="U63" s="140"/>
      <c r="V63" s="140"/>
      <c r="W63" s="140"/>
      <c r="X63" s="140"/>
      <c r="Y63" s="306">
        <f>SUM(Y51:Y62)</f>
        <v>458</v>
      </c>
      <c r="Z63" s="301">
        <f>SUM(Z51:Z62)</f>
        <v>224</v>
      </c>
      <c r="AA63" s="301">
        <f>SUM(AA51:AA62)</f>
        <v>216</v>
      </c>
      <c r="AB63" s="301">
        <f>SUM(AB51:AB62)</f>
        <v>215</v>
      </c>
      <c r="AC63" s="301">
        <f>SUM(AC51:AC62)</f>
        <v>56</v>
      </c>
      <c r="AD63" s="306"/>
    </row>
    <row r="64" spans="1:30" ht="21" customHeight="1">
      <c r="A64" s="226" t="s">
        <v>99</v>
      </c>
      <c r="B64" s="71"/>
      <c r="C64" s="71"/>
      <c r="D64" s="553"/>
      <c r="E64" s="434"/>
      <c r="F64" s="434"/>
      <c r="G64" s="434"/>
      <c r="H64" s="434"/>
      <c r="I64" s="563">
        <f>SUM(B64:H64)</f>
        <v>0</v>
      </c>
      <c r="J64" s="131"/>
      <c r="K64" s="131"/>
      <c r="L64" s="131">
        <f t="shared" ref="L64:L68" si="34">SUM(D64:H64)</f>
        <v>0</v>
      </c>
      <c r="M64" s="131"/>
      <c r="N64" s="131"/>
      <c r="O64" s="131">
        <f>C64+D64+E64+F64+G64</f>
        <v>0</v>
      </c>
      <c r="P64" s="130"/>
      <c r="Q64" s="131"/>
      <c r="R64" s="131"/>
      <c r="S64" s="131"/>
      <c r="T64" s="131"/>
      <c r="U64" s="131"/>
      <c r="V64" s="131"/>
      <c r="W64" s="131"/>
      <c r="X64" s="131"/>
      <c r="Y64" s="306"/>
      <c r="Z64" s="301"/>
      <c r="AA64" s="301"/>
      <c r="AB64" s="301"/>
      <c r="AC64" s="301"/>
    </row>
    <row r="65" spans="1:29" ht="21" customHeight="1">
      <c r="A65" s="223" t="s">
        <v>100</v>
      </c>
      <c r="B65" s="67"/>
      <c r="C65" s="223">
        <v>8</v>
      </c>
      <c r="D65" s="548">
        <v>9</v>
      </c>
      <c r="E65" s="549"/>
      <c r="F65" s="549"/>
      <c r="G65" s="549"/>
      <c r="H65" s="549"/>
      <c r="I65" s="529">
        <f t="shared" ref="I65:I68" si="35">SUM(B65:H65)</f>
        <v>17</v>
      </c>
      <c r="J65" s="133"/>
      <c r="K65" s="133"/>
      <c r="L65" s="133">
        <f t="shared" si="34"/>
        <v>9</v>
      </c>
      <c r="M65" s="133"/>
      <c r="N65" s="133"/>
      <c r="O65" s="133">
        <f>C65+D65+E65+F65+G65</f>
        <v>17</v>
      </c>
      <c r="P65" s="130"/>
      <c r="Q65" s="131"/>
      <c r="R65" s="131"/>
      <c r="S65" s="131"/>
      <c r="T65" s="131"/>
      <c r="U65" s="131"/>
      <c r="V65" s="131"/>
      <c r="W65" s="131"/>
      <c r="X65" s="131"/>
      <c r="Y65" s="306"/>
      <c r="Z65" s="301">
        <v>13</v>
      </c>
      <c r="AA65" s="301">
        <v>12</v>
      </c>
      <c r="AB65" s="301">
        <v>8</v>
      </c>
      <c r="AC65" s="301"/>
    </row>
    <row r="66" spans="1:29" ht="21" customHeight="1">
      <c r="A66" s="223" t="s">
        <v>101</v>
      </c>
      <c r="B66" s="67"/>
      <c r="C66" s="223">
        <v>27</v>
      </c>
      <c r="D66" s="548">
        <v>5</v>
      </c>
      <c r="E66" s="549">
        <v>1</v>
      </c>
      <c r="F66" s="549"/>
      <c r="G66" s="549"/>
      <c r="H66" s="549"/>
      <c r="I66" s="529">
        <f t="shared" si="35"/>
        <v>33</v>
      </c>
      <c r="J66" s="133"/>
      <c r="K66" s="133"/>
      <c r="L66" s="133">
        <f t="shared" si="34"/>
        <v>6</v>
      </c>
      <c r="M66" s="133"/>
      <c r="N66" s="133"/>
      <c r="O66" s="133">
        <f>C66+D66+E66+F66+G66</f>
        <v>33</v>
      </c>
      <c r="P66" s="130"/>
      <c r="Q66" s="131"/>
      <c r="R66" s="131"/>
      <c r="S66" s="131"/>
      <c r="T66" s="131"/>
      <c r="U66" s="131"/>
      <c r="V66" s="131"/>
      <c r="W66" s="131"/>
      <c r="X66" s="131"/>
      <c r="Y66" s="306"/>
      <c r="Z66" s="301">
        <v>13</v>
      </c>
      <c r="AA66" s="301">
        <v>12</v>
      </c>
      <c r="AB66" s="301">
        <v>8</v>
      </c>
      <c r="AC66" s="301"/>
    </row>
    <row r="67" spans="1:29" ht="21" customHeight="1">
      <c r="A67" s="223" t="s">
        <v>91</v>
      </c>
      <c r="B67" s="67"/>
      <c r="C67" s="223">
        <v>12</v>
      </c>
      <c r="D67" s="548">
        <v>2</v>
      </c>
      <c r="E67" s="549"/>
      <c r="F67" s="549"/>
      <c r="G67" s="549"/>
      <c r="H67" s="549"/>
      <c r="I67" s="529">
        <f t="shared" si="35"/>
        <v>14</v>
      </c>
      <c r="J67" s="133"/>
      <c r="K67" s="133"/>
      <c r="L67" s="133">
        <f t="shared" si="34"/>
        <v>2</v>
      </c>
      <c r="M67" s="133"/>
      <c r="N67" s="133"/>
      <c r="O67" s="133">
        <f>C67+D67+E67+F67+G67</f>
        <v>14</v>
      </c>
      <c r="P67" s="130"/>
      <c r="Q67" s="131"/>
      <c r="R67" s="131"/>
      <c r="S67" s="131"/>
      <c r="T67" s="131"/>
      <c r="U67" s="131"/>
      <c r="V67" s="131"/>
      <c r="W67" s="131"/>
      <c r="X67" s="131"/>
      <c r="Y67" s="306">
        <v>25</v>
      </c>
      <c r="Z67" s="301"/>
      <c r="AA67" s="301"/>
      <c r="AB67" s="301"/>
      <c r="AC67" s="301"/>
    </row>
    <row r="68" spans="1:29" ht="21" customHeight="1">
      <c r="A68" s="226" t="s">
        <v>104</v>
      </c>
      <c r="B68" s="226"/>
      <c r="C68" s="226"/>
      <c r="D68" s="550">
        <v>1</v>
      </c>
      <c r="E68" s="551"/>
      <c r="F68" s="551"/>
      <c r="G68" s="551"/>
      <c r="H68" s="551"/>
      <c r="I68" s="539">
        <f t="shared" si="35"/>
        <v>1</v>
      </c>
      <c r="J68" s="133"/>
      <c r="K68" s="133"/>
      <c r="L68" s="133">
        <f t="shared" si="34"/>
        <v>1</v>
      </c>
      <c r="M68" s="133"/>
      <c r="N68" s="133"/>
      <c r="O68" s="133">
        <f>C68+D68+E68+F68+G68</f>
        <v>1</v>
      </c>
      <c r="P68" s="130"/>
      <c r="Q68" s="131"/>
      <c r="R68" s="131"/>
      <c r="S68" s="131"/>
      <c r="T68" s="131"/>
      <c r="U68" s="131"/>
      <c r="V68" s="131"/>
      <c r="W68" s="131"/>
      <c r="X68" s="131"/>
      <c r="Y68" s="306">
        <v>21</v>
      </c>
      <c r="Z68" s="301">
        <v>33</v>
      </c>
      <c r="AA68" s="301">
        <v>16</v>
      </c>
      <c r="AB68" s="301">
        <v>2</v>
      </c>
      <c r="AC68" s="301"/>
    </row>
    <row r="69" spans="1:29" ht="21" customHeight="1">
      <c r="A69" s="60" t="s">
        <v>106</v>
      </c>
      <c r="B69" s="49">
        <f t="shared" ref="B69:I69" si="36">SUM(B64:B68)</f>
        <v>0</v>
      </c>
      <c r="C69" s="49">
        <f t="shared" si="36"/>
        <v>47</v>
      </c>
      <c r="D69" s="49">
        <f t="shared" si="36"/>
        <v>17</v>
      </c>
      <c r="E69" s="49">
        <f t="shared" si="36"/>
        <v>1</v>
      </c>
      <c r="F69" s="49">
        <f t="shared" si="36"/>
        <v>0</v>
      </c>
      <c r="G69" s="49">
        <f t="shared" si="36"/>
        <v>0</v>
      </c>
      <c r="H69" s="49">
        <f t="shared" si="36"/>
        <v>0</v>
      </c>
      <c r="I69" s="49">
        <f t="shared" si="36"/>
        <v>65</v>
      </c>
      <c r="J69" s="135"/>
      <c r="K69" s="135"/>
      <c r="L69" s="135"/>
      <c r="M69" s="135"/>
      <c r="N69" s="135"/>
      <c r="O69" s="135"/>
      <c r="P69" s="134"/>
      <c r="Q69" s="135">
        <f>13+14+26+25+42</f>
        <v>120</v>
      </c>
      <c r="R69" s="135">
        <f>120+51</f>
        <v>171</v>
      </c>
      <c r="S69" s="135"/>
      <c r="T69" s="135"/>
      <c r="U69" s="135"/>
      <c r="V69" s="135"/>
      <c r="W69" s="135"/>
      <c r="X69" s="135"/>
      <c r="Y69" s="518">
        <f>SUM(Y64:Y68)</f>
        <v>46</v>
      </c>
      <c r="Z69" s="301">
        <f>SUM(Z64:Z68)</f>
        <v>59</v>
      </c>
      <c r="AA69" s="301">
        <f>SUM(AA64:AA68)</f>
        <v>40</v>
      </c>
      <c r="AB69" s="301">
        <f>SUM(AB64:AB68)</f>
        <v>18</v>
      </c>
      <c r="AC69" s="301">
        <f>SUM(AC64:AC68)</f>
        <v>0</v>
      </c>
    </row>
    <row r="70" spans="1:29" ht="21" customHeight="1">
      <c r="A70" s="67" t="s">
        <v>14</v>
      </c>
      <c r="B70" s="67"/>
      <c r="C70" s="67"/>
      <c r="D70" s="554"/>
      <c r="E70" s="439"/>
      <c r="F70" s="439"/>
      <c r="G70" s="439"/>
      <c r="H70" s="439"/>
      <c r="I70" s="439"/>
      <c r="J70" s="131"/>
      <c r="K70" s="131"/>
      <c r="L70" s="131"/>
      <c r="M70" s="131"/>
      <c r="N70" s="131"/>
      <c r="O70" s="131"/>
      <c r="P70" s="130"/>
      <c r="Q70" s="131"/>
      <c r="R70" s="131"/>
      <c r="S70" s="131"/>
      <c r="T70" s="131"/>
      <c r="U70" s="131"/>
      <c r="V70" s="131"/>
      <c r="W70" s="131"/>
      <c r="X70" s="131"/>
    </row>
    <row r="71" spans="1:29" ht="21" customHeight="1">
      <c r="A71" s="226" t="s">
        <v>107</v>
      </c>
      <c r="B71" s="71"/>
      <c r="C71" s="71"/>
      <c r="D71" s="553"/>
      <c r="E71" s="434"/>
      <c r="F71" s="434"/>
      <c r="G71" s="434"/>
      <c r="H71" s="434"/>
      <c r="I71" s="275">
        <f>SUM(B71:H71)</f>
        <v>0</v>
      </c>
      <c r="J71" s="131"/>
      <c r="K71" s="131"/>
      <c r="L71" s="131"/>
      <c r="M71" s="131"/>
      <c r="N71" s="131"/>
      <c r="O71" s="131"/>
      <c r="P71" s="130"/>
      <c r="Q71" s="131"/>
      <c r="R71" s="131"/>
      <c r="S71" s="131"/>
      <c r="T71" s="131"/>
      <c r="U71" s="131"/>
      <c r="V71" s="131"/>
      <c r="W71" s="131"/>
      <c r="X71" s="131"/>
    </row>
    <row r="72" spans="1:29" ht="21" customHeight="1">
      <c r="A72" s="69"/>
      <c r="B72" s="69"/>
      <c r="C72" s="69"/>
      <c r="D72" s="569"/>
      <c r="E72" s="497"/>
      <c r="F72" s="497"/>
      <c r="G72" s="497"/>
      <c r="H72" s="497"/>
      <c r="I72" s="497"/>
      <c r="J72" s="131"/>
      <c r="K72" s="131"/>
      <c r="L72" s="131"/>
      <c r="M72" s="131"/>
      <c r="N72" s="131"/>
      <c r="O72" s="131"/>
      <c r="P72" s="130"/>
      <c r="Q72" s="131"/>
      <c r="R72" s="131"/>
      <c r="S72" s="131"/>
      <c r="T72" s="131"/>
      <c r="U72" s="131"/>
      <c r="V72" s="131"/>
      <c r="W72" s="131"/>
      <c r="X72" s="131"/>
    </row>
    <row r="73" spans="1:29" ht="21" customHeight="1">
      <c r="A73" s="60" t="s">
        <v>6</v>
      </c>
      <c r="B73" s="49">
        <f t="shared" ref="B73" si="37">SUM(B71:B72)</f>
        <v>0</v>
      </c>
      <c r="C73" s="49">
        <f t="shared" ref="C73:I73" si="38">SUM(C71:C72)</f>
        <v>0</v>
      </c>
      <c r="D73" s="49">
        <f t="shared" si="38"/>
        <v>0</v>
      </c>
      <c r="E73" s="49">
        <f t="shared" si="38"/>
        <v>0</v>
      </c>
      <c r="F73" s="49">
        <f t="shared" si="38"/>
        <v>0</v>
      </c>
      <c r="G73" s="49">
        <f t="shared" ref="G73" si="39">SUM(G71:G72)</f>
        <v>0</v>
      </c>
      <c r="H73" s="49">
        <f t="shared" si="38"/>
        <v>0</v>
      </c>
      <c r="I73" s="49">
        <f t="shared" si="38"/>
        <v>0</v>
      </c>
      <c r="J73" s="135"/>
      <c r="K73" s="135"/>
      <c r="L73" s="135"/>
      <c r="M73" s="135"/>
      <c r="N73" s="135"/>
      <c r="O73" s="135"/>
      <c r="P73" s="134"/>
      <c r="Q73" s="135"/>
      <c r="R73" s="135"/>
      <c r="S73" s="135"/>
      <c r="T73" s="135"/>
      <c r="U73" s="135"/>
      <c r="V73" s="135"/>
      <c r="W73" s="135"/>
      <c r="X73" s="135"/>
    </row>
    <row r="74" spans="1:29" ht="21" customHeight="1">
      <c r="A74" s="266" t="s">
        <v>108</v>
      </c>
      <c r="B74" s="488">
        <f>SUM(B75:B83)</f>
        <v>292</v>
      </c>
      <c r="C74" s="488">
        <f>SUM(C75:C83)</f>
        <v>113</v>
      </c>
      <c r="D74" s="488">
        <f t="shared" ref="D74:I74" si="40">SUM(D75:D83)</f>
        <v>243</v>
      </c>
      <c r="E74" s="488">
        <f t="shared" si="40"/>
        <v>166</v>
      </c>
      <c r="F74" s="488">
        <f t="shared" si="40"/>
        <v>31</v>
      </c>
      <c r="G74" s="488">
        <f t="shared" ref="G74" si="41">SUM(G75:G83)</f>
        <v>0</v>
      </c>
      <c r="H74" s="488">
        <f t="shared" si="40"/>
        <v>0</v>
      </c>
      <c r="I74" s="488">
        <f t="shared" si="40"/>
        <v>845</v>
      </c>
      <c r="J74" s="140"/>
      <c r="K74" s="140"/>
      <c r="L74" s="140"/>
      <c r="M74" s="140">
        <f>136+113+168+271</f>
        <v>688</v>
      </c>
      <c r="N74" s="140"/>
      <c r="O74" s="140"/>
      <c r="P74" s="502">
        <v>862</v>
      </c>
      <c r="Q74" s="140"/>
      <c r="R74" s="140"/>
      <c r="S74" s="140"/>
      <c r="T74" s="140"/>
      <c r="U74" s="140"/>
      <c r="V74" s="140"/>
      <c r="W74" s="140"/>
      <c r="X74" s="140"/>
      <c r="AA74" s="301">
        <f>I74</f>
        <v>845</v>
      </c>
    </row>
    <row r="75" spans="1:29" ht="21" customHeight="1">
      <c r="A75" s="223" t="s">
        <v>55</v>
      </c>
      <c r="B75" s="223"/>
      <c r="C75" s="223"/>
      <c r="D75" s="548">
        <v>109</v>
      </c>
      <c r="E75" s="549">
        <v>84</v>
      </c>
      <c r="F75" s="549">
        <v>13</v>
      </c>
      <c r="G75" s="549"/>
      <c r="H75" s="549"/>
      <c r="I75" s="526">
        <f>SUM(B75:H75)</f>
        <v>206</v>
      </c>
      <c r="J75" s="133"/>
      <c r="K75" s="133"/>
      <c r="L75" s="133">
        <f t="shared" ref="L75:L97" si="42">SUM(D75:H75)</f>
        <v>206</v>
      </c>
      <c r="M75" s="133"/>
      <c r="N75" s="133"/>
      <c r="O75" s="133">
        <f t="shared" ref="O75:O81" si="43">C75+D75+E75+F75+G75</f>
        <v>206</v>
      </c>
      <c r="P75" s="130"/>
      <c r="Q75" s="131">
        <f>I75+Q76</f>
        <v>206</v>
      </c>
      <c r="R75" s="131"/>
      <c r="S75" s="131"/>
      <c r="T75" s="131"/>
      <c r="U75" s="131"/>
      <c r="V75" s="131"/>
      <c r="W75" s="131"/>
      <c r="X75" s="131"/>
      <c r="Y75" s="306">
        <v>119</v>
      </c>
      <c r="Z75" s="301">
        <v>65</v>
      </c>
      <c r="AA75" s="301">
        <v>88</v>
      </c>
      <c r="AB75" s="301">
        <v>36</v>
      </c>
      <c r="AC75" s="301">
        <v>3</v>
      </c>
    </row>
    <row r="76" spans="1:29" ht="21" customHeight="1">
      <c r="A76" s="223" t="s">
        <v>249</v>
      </c>
      <c r="B76" s="223">
        <v>40</v>
      </c>
      <c r="C76" s="71"/>
      <c r="D76" s="553"/>
      <c r="E76" s="434"/>
      <c r="F76" s="434"/>
      <c r="G76" s="434"/>
      <c r="H76" s="434"/>
      <c r="I76" s="275">
        <f>SUM(B76:H76)</f>
        <v>40</v>
      </c>
      <c r="J76" s="131"/>
      <c r="K76" s="131"/>
      <c r="L76" s="131"/>
      <c r="M76" s="131"/>
      <c r="N76" s="131"/>
      <c r="O76" s="131">
        <f t="shared" si="43"/>
        <v>0</v>
      </c>
      <c r="P76" s="130"/>
      <c r="Q76" s="131">
        <f>C76+C77+C78</f>
        <v>0</v>
      </c>
      <c r="R76" s="131"/>
      <c r="S76" s="131"/>
      <c r="T76" s="131"/>
      <c r="U76" s="131"/>
      <c r="V76" s="131"/>
      <c r="W76" s="131"/>
      <c r="X76" s="131"/>
      <c r="Y76" s="306"/>
      <c r="Z76" s="301"/>
      <c r="AA76" s="301"/>
      <c r="AB76" s="301"/>
      <c r="AC76" s="301"/>
    </row>
    <row r="77" spans="1:29" ht="21" customHeight="1">
      <c r="A77" s="223" t="s">
        <v>250</v>
      </c>
      <c r="B77" s="223">
        <v>44</v>
      </c>
      <c r="C77" s="570"/>
      <c r="D77" s="553"/>
      <c r="E77" s="434"/>
      <c r="F77" s="434"/>
      <c r="G77" s="434"/>
      <c r="H77" s="434"/>
      <c r="I77" s="275">
        <f t="shared" ref="I77:I81" si="44">SUM(B77:H77)</f>
        <v>44</v>
      </c>
      <c r="J77" s="131"/>
      <c r="K77" s="131"/>
      <c r="L77" s="131"/>
      <c r="M77" s="131"/>
      <c r="N77" s="131"/>
      <c r="O77" s="131">
        <f t="shared" si="43"/>
        <v>0</v>
      </c>
      <c r="P77" s="130"/>
      <c r="Q77" s="131"/>
      <c r="R77" s="131"/>
      <c r="S77" s="131"/>
      <c r="T77" s="131"/>
      <c r="U77" s="131"/>
      <c r="V77" s="131"/>
      <c r="W77" s="131"/>
      <c r="X77" s="131"/>
      <c r="Y77" s="306"/>
      <c r="Z77" s="301"/>
      <c r="AA77" s="301"/>
      <c r="AB77" s="301"/>
      <c r="AC77" s="301"/>
    </row>
    <row r="78" spans="1:29" ht="21" customHeight="1">
      <c r="A78" s="223" t="s">
        <v>251</v>
      </c>
      <c r="B78" s="223">
        <v>98</v>
      </c>
      <c r="C78" s="71"/>
      <c r="D78" s="553"/>
      <c r="E78" s="434"/>
      <c r="F78" s="434"/>
      <c r="G78" s="434"/>
      <c r="H78" s="434"/>
      <c r="I78" s="275">
        <f t="shared" si="44"/>
        <v>98</v>
      </c>
      <c r="J78" s="131"/>
      <c r="K78" s="131"/>
      <c r="L78" s="131"/>
      <c r="M78" s="131"/>
      <c r="N78" s="131"/>
      <c r="O78" s="131">
        <f t="shared" si="43"/>
        <v>0</v>
      </c>
      <c r="P78" s="130"/>
      <c r="Q78" s="131"/>
      <c r="R78" s="131"/>
      <c r="S78" s="131"/>
      <c r="T78" s="131"/>
      <c r="U78" s="131"/>
      <c r="V78" s="131"/>
      <c r="W78" s="131"/>
      <c r="X78" s="131"/>
      <c r="Y78" s="306"/>
      <c r="Z78" s="301"/>
      <c r="AA78" s="301"/>
      <c r="AB78" s="301"/>
      <c r="AC78" s="301"/>
    </row>
    <row r="79" spans="1:29" ht="21" customHeight="1">
      <c r="A79" s="226" t="s">
        <v>119</v>
      </c>
      <c r="B79" s="226">
        <v>52</v>
      </c>
      <c r="C79" s="226">
        <v>47</v>
      </c>
      <c r="D79" s="550">
        <v>46</v>
      </c>
      <c r="E79" s="551">
        <v>43</v>
      </c>
      <c r="F79" s="551">
        <v>7</v>
      </c>
      <c r="G79" s="551"/>
      <c r="H79" s="551"/>
      <c r="I79" s="529">
        <f t="shared" si="44"/>
        <v>195</v>
      </c>
      <c r="J79" s="133"/>
      <c r="K79" s="133"/>
      <c r="L79" s="133">
        <f t="shared" si="42"/>
        <v>96</v>
      </c>
      <c r="M79" s="133"/>
      <c r="N79" s="133"/>
      <c r="O79" s="133">
        <f t="shared" si="43"/>
        <v>143</v>
      </c>
      <c r="P79" s="130"/>
      <c r="Q79" s="131"/>
      <c r="R79" s="131"/>
      <c r="S79" s="131"/>
      <c r="T79" s="131"/>
      <c r="U79" s="131"/>
      <c r="V79" s="131"/>
      <c r="W79" s="131"/>
      <c r="X79" s="131"/>
      <c r="Y79" s="306">
        <v>38</v>
      </c>
      <c r="Z79" s="301">
        <v>18</v>
      </c>
      <c r="AA79" s="301">
        <v>26</v>
      </c>
      <c r="AB79" s="301">
        <v>32</v>
      </c>
      <c r="AC79" s="301">
        <v>2</v>
      </c>
    </row>
    <row r="80" spans="1:29" ht="21" customHeight="1">
      <c r="A80" s="571" t="s">
        <v>120</v>
      </c>
      <c r="B80" s="571">
        <v>30</v>
      </c>
      <c r="C80" s="571">
        <v>37</v>
      </c>
      <c r="D80" s="572">
        <v>40</v>
      </c>
      <c r="E80" s="573">
        <v>30</v>
      </c>
      <c r="F80" s="573">
        <v>9</v>
      </c>
      <c r="G80" s="573"/>
      <c r="H80" s="573"/>
      <c r="I80" s="529">
        <f t="shared" si="44"/>
        <v>146</v>
      </c>
      <c r="J80" s="133"/>
      <c r="K80" s="133"/>
      <c r="L80" s="133">
        <f t="shared" si="42"/>
        <v>79</v>
      </c>
      <c r="M80" s="133"/>
      <c r="N80" s="133"/>
      <c r="O80" s="133">
        <f t="shared" si="43"/>
        <v>116</v>
      </c>
      <c r="P80" s="130"/>
      <c r="Q80" s="131"/>
      <c r="R80" s="131"/>
      <c r="S80" s="131"/>
      <c r="T80" s="131"/>
      <c r="U80" s="131"/>
      <c r="V80" s="131"/>
      <c r="W80" s="131"/>
      <c r="X80" s="131"/>
      <c r="Y80" s="306">
        <v>61</v>
      </c>
      <c r="Z80" s="301">
        <v>34</v>
      </c>
      <c r="AA80" s="301">
        <v>30</v>
      </c>
      <c r="AB80" s="301">
        <v>15</v>
      </c>
      <c r="AC80" s="301">
        <v>1</v>
      </c>
    </row>
    <row r="81" spans="1:29" ht="21" customHeight="1">
      <c r="A81" s="571" t="s">
        <v>122</v>
      </c>
      <c r="B81" s="571">
        <v>28</v>
      </c>
      <c r="C81" s="571">
        <v>29</v>
      </c>
      <c r="D81" s="572">
        <v>48</v>
      </c>
      <c r="E81" s="573">
        <v>9</v>
      </c>
      <c r="F81" s="573">
        <v>2</v>
      </c>
      <c r="G81" s="573"/>
      <c r="H81" s="573"/>
      <c r="I81" s="539">
        <f t="shared" si="44"/>
        <v>116</v>
      </c>
      <c r="J81" s="133"/>
      <c r="K81" s="133"/>
      <c r="L81" s="133">
        <f t="shared" si="42"/>
        <v>59</v>
      </c>
      <c r="M81" s="133"/>
      <c r="N81" s="133"/>
      <c r="O81" s="133">
        <f t="shared" si="43"/>
        <v>88</v>
      </c>
      <c r="P81" s="130"/>
      <c r="Q81" s="131"/>
      <c r="R81" s="131"/>
      <c r="S81" s="131"/>
      <c r="T81" s="131"/>
      <c r="U81" s="131"/>
      <c r="V81" s="131"/>
      <c r="W81" s="131"/>
      <c r="X81" s="131"/>
      <c r="Y81" s="306">
        <v>33</v>
      </c>
      <c r="Z81" s="301"/>
      <c r="AA81" s="301"/>
      <c r="AB81" s="301"/>
      <c r="AC81" s="301"/>
    </row>
    <row r="82" spans="1:29" ht="21" hidden="1" customHeight="1">
      <c r="A82" s="69" t="s">
        <v>123</v>
      </c>
      <c r="B82" s="69"/>
      <c r="C82" s="69"/>
      <c r="D82" s="569"/>
      <c r="E82" s="497"/>
      <c r="F82" s="497"/>
      <c r="G82" s="497"/>
      <c r="H82" s="497"/>
      <c r="I82" s="497"/>
      <c r="J82" s="131"/>
      <c r="K82" s="131"/>
      <c r="L82" s="131">
        <f t="shared" si="42"/>
        <v>0</v>
      </c>
      <c r="M82" s="131"/>
      <c r="N82" s="131"/>
      <c r="O82" s="131"/>
      <c r="P82" s="130"/>
      <c r="Q82" s="131"/>
      <c r="R82" s="131"/>
      <c r="S82" s="131"/>
      <c r="T82" s="131"/>
      <c r="U82" s="131"/>
      <c r="V82" s="131"/>
      <c r="W82" s="131"/>
      <c r="X82" s="131"/>
    </row>
    <row r="83" spans="1:29" ht="21" hidden="1" customHeight="1">
      <c r="A83" s="69" t="s">
        <v>124</v>
      </c>
      <c r="B83" s="69"/>
      <c r="C83" s="69"/>
      <c r="D83" s="569"/>
      <c r="E83" s="497"/>
      <c r="F83" s="497"/>
      <c r="G83" s="497"/>
      <c r="H83" s="497"/>
      <c r="I83" s="497"/>
      <c r="J83" s="131"/>
      <c r="K83" s="131"/>
      <c r="L83" s="131">
        <f t="shared" si="42"/>
        <v>0</v>
      </c>
      <c r="M83" s="131"/>
      <c r="N83" s="131"/>
      <c r="O83" s="131"/>
      <c r="P83" s="130"/>
      <c r="Q83" s="131"/>
      <c r="R83" s="131"/>
      <c r="S83" s="131"/>
      <c r="T83" s="131"/>
      <c r="U83" s="131"/>
      <c r="V83" s="131"/>
      <c r="W83" s="131"/>
      <c r="X83" s="131"/>
    </row>
    <row r="84" spans="1:29" ht="21" hidden="1" customHeight="1">
      <c r="A84" s="60" t="s">
        <v>6</v>
      </c>
      <c r="B84" s="60"/>
      <c r="C84" s="60"/>
      <c r="D84" s="542"/>
      <c r="E84" s="49">
        <f>SUM(E75:E83)</f>
        <v>166</v>
      </c>
      <c r="F84" s="49">
        <f>SUM(F75:F83)</f>
        <v>31</v>
      </c>
      <c r="G84" s="49">
        <f>SUM(G75:G83)</f>
        <v>0</v>
      </c>
      <c r="H84" s="49">
        <f>SUM(H75:H83)</f>
        <v>0</v>
      </c>
      <c r="I84" s="49">
        <f>SUM(I75:I83)</f>
        <v>845</v>
      </c>
      <c r="J84" s="135"/>
      <c r="K84" s="135"/>
      <c r="L84" s="131">
        <f t="shared" si="42"/>
        <v>197</v>
      </c>
      <c r="M84" s="135"/>
      <c r="N84" s="135"/>
      <c r="O84" s="135"/>
      <c r="P84" s="134"/>
      <c r="Q84" s="135"/>
      <c r="R84" s="135"/>
      <c r="S84" s="135"/>
      <c r="T84" s="135"/>
      <c r="U84" s="135"/>
      <c r="V84" s="135"/>
      <c r="W84" s="135"/>
      <c r="X84" s="135"/>
    </row>
    <row r="85" spans="1:29" ht="21" customHeight="1">
      <c r="A85" s="266" t="s">
        <v>125</v>
      </c>
      <c r="B85" s="488">
        <f>SUM(B86:B97)</f>
        <v>724</v>
      </c>
      <c r="C85" s="488">
        <f>SUM(C86:C97)</f>
        <v>530</v>
      </c>
      <c r="D85" s="488">
        <f>SUM(D86:D97)</f>
        <v>501</v>
      </c>
      <c r="E85" s="488">
        <f t="shared" ref="E85:I85" si="45">SUM(E86:E97)</f>
        <v>441</v>
      </c>
      <c r="F85" s="488">
        <f t="shared" si="45"/>
        <v>59</v>
      </c>
      <c r="G85" s="488">
        <f t="shared" si="45"/>
        <v>0</v>
      </c>
      <c r="H85" s="488">
        <f t="shared" si="45"/>
        <v>0</v>
      </c>
      <c r="I85" s="488">
        <f t="shared" si="45"/>
        <v>2255</v>
      </c>
      <c r="J85" s="140"/>
      <c r="K85" s="140"/>
      <c r="L85" s="131">
        <f t="shared" si="42"/>
        <v>1001</v>
      </c>
      <c r="M85" s="140"/>
      <c r="N85" s="140"/>
      <c r="O85" s="140"/>
      <c r="P85" s="502">
        <v>1981</v>
      </c>
      <c r="Q85" s="140"/>
      <c r="R85" s="140"/>
      <c r="S85" s="140"/>
      <c r="T85" s="140"/>
      <c r="U85" s="140"/>
      <c r="V85" s="140"/>
      <c r="W85" s="140"/>
      <c r="X85" s="140"/>
      <c r="Y85" s="301">
        <f>SUM(Y75:Y84)</f>
        <v>251</v>
      </c>
      <c r="Z85" s="301">
        <f>SUM(Z75:Z84)</f>
        <v>117</v>
      </c>
      <c r="AA85" s="301">
        <f>SUM(AA75:AA84)</f>
        <v>144</v>
      </c>
      <c r="AB85" s="301">
        <f>SUM(AB75:AB84)</f>
        <v>83</v>
      </c>
      <c r="AC85" s="301">
        <f>SUM(AC75:AC84)</f>
        <v>6</v>
      </c>
    </row>
    <row r="86" spans="1:29" s="46" customFormat="1" ht="21" customHeight="1">
      <c r="A86" s="574" t="s">
        <v>126</v>
      </c>
      <c r="B86" s="68"/>
      <c r="C86" s="68"/>
      <c r="D86" s="575"/>
      <c r="E86" s="468"/>
      <c r="F86" s="468"/>
      <c r="G86" s="468"/>
      <c r="H86" s="468"/>
      <c r="I86" s="563">
        <f>SUM(B86:H86)</f>
        <v>0</v>
      </c>
      <c r="J86" s="133"/>
      <c r="K86" s="133">
        <v>1</v>
      </c>
      <c r="L86" s="133">
        <f t="shared" si="42"/>
        <v>0</v>
      </c>
      <c r="M86" s="133"/>
      <c r="N86" s="133"/>
      <c r="O86" s="133">
        <f t="shared" ref="O86:O97" si="46">C86+D86+E86+F86+G86</f>
        <v>0</v>
      </c>
      <c r="P86" s="130"/>
      <c r="Q86" s="131"/>
      <c r="R86" s="131"/>
      <c r="S86" s="131"/>
      <c r="T86" s="131"/>
      <c r="U86" s="131"/>
      <c r="V86" s="131"/>
      <c r="W86" s="133"/>
      <c r="X86" s="133"/>
      <c r="Y86" s="470">
        <v>78</v>
      </c>
      <c r="Z86" s="310">
        <v>55</v>
      </c>
      <c r="AA86" s="310">
        <v>52</v>
      </c>
      <c r="AB86" s="310">
        <v>29</v>
      </c>
      <c r="AC86" s="310">
        <v>16</v>
      </c>
    </row>
    <row r="87" spans="1:29" ht="21" customHeight="1">
      <c r="A87" s="226" t="s">
        <v>127</v>
      </c>
      <c r="B87" s="226">
        <v>56</v>
      </c>
      <c r="C87" s="348">
        <v>56</v>
      </c>
      <c r="D87" s="550">
        <v>55</v>
      </c>
      <c r="E87" s="551">
        <v>39</v>
      </c>
      <c r="F87" s="551">
        <v>10</v>
      </c>
      <c r="G87" s="551"/>
      <c r="H87" s="551"/>
      <c r="I87" s="529">
        <f t="shared" ref="I87:I97" si="47">SUM(B87:H87)</f>
        <v>216</v>
      </c>
      <c r="J87" s="133"/>
      <c r="K87" s="133">
        <v>2</v>
      </c>
      <c r="L87" s="133">
        <f t="shared" si="42"/>
        <v>104</v>
      </c>
      <c r="M87" s="133"/>
      <c r="N87" s="133"/>
      <c r="O87" s="133">
        <f t="shared" si="46"/>
        <v>160</v>
      </c>
      <c r="P87" s="130"/>
      <c r="Q87" s="131"/>
      <c r="R87" s="131"/>
      <c r="S87" s="131"/>
      <c r="T87" s="131"/>
      <c r="U87" s="131"/>
      <c r="V87" s="131"/>
      <c r="W87" s="131"/>
      <c r="X87" s="131"/>
      <c r="Y87" s="306">
        <v>49</v>
      </c>
      <c r="Z87" s="301">
        <v>47</v>
      </c>
      <c r="AA87" s="301">
        <v>46</v>
      </c>
      <c r="AB87" s="301">
        <v>40</v>
      </c>
      <c r="AC87" s="301">
        <v>7</v>
      </c>
    </row>
    <row r="88" spans="1:29" ht="21" customHeight="1">
      <c r="A88" s="226" t="s">
        <v>128</v>
      </c>
      <c r="B88" s="226">
        <v>89</v>
      </c>
      <c r="C88" s="348">
        <v>54</v>
      </c>
      <c r="D88" s="550">
        <v>67</v>
      </c>
      <c r="E88" s="551">
        <v>46</v>
      </c>
      <c r="F88" s="551">
        <v>2</v>
      </c>
      <c r="G88" s="551"/>
      <c r="H88" s="551"/>
      <c r="I88" s="529">
        <f t="shared" si="47"/>
        <v>258</v>
      </c>
      <c r="J88" s="133"/>
      <c r="K88" s="133">
        <v>2</v>
      </c>
      <c r="L88" s="133">
        <f t="shared" si="42"/>
        <v>115</v>
      </c>
      <c r="M88" s="133"/>
      <c r="N88" s="133"/>
      <c r="O88" s="133">
        <f t="shared" si="46"/>
        <v>169</v>
      </c>
      <c r="P88" s="130"/>
      <c r="Q88" s="131"/>
      <c r="R88" s="131"/>
      <c r="S88" s="131"/>
      <c r="T88" s="131"/>
      <c r="U88" s="131"/>
      <c r="V88" s="131"/>
      <c r="W88" s="131"/>
      <c r="X88" s="131"/>
      <c r="Y88" s="306">
        <v>49</v>
      </c>
      <c r="Z88" s="301">
        <v>47</v>
      </c>
      <c r="AA88" s="301">
        <v>46</v>
      </c>
      <c r="AB88" s="301">
        <v>40</v>
      </c>
      <c r="AC88" s="301">
        <v>7</v>
      </c>
    </row>
    <row r="89" spans="1:29" ht="21" customHeight="1">
      <c r="A89" s="226" t="s">
        <v>129</v>
      </c>
      <c r="B89" s="226">
        <v>79</v>
      </c>
      <c r="C89" s="348">
        <v>42</v>
      </c>
      <c r="D89" s="550">
        <v>34</v>
      </c>
      <c r="E89" s="551">
        <v>42</v>
      </c>
      <c r="F89" s="551">
        <v>2</v>
      </c>
      <c r="G89" s="551"/>
      <c r="H89" s="551"/>
      <c r="I89" s="529">
        <f t="shared" si="47"/>
        <v>199</v>
      </c>
      <c r="J89" s="133"/>
      <c r="K89" s="133">
        <v>3</v>
      </c>
      <c r="L89" s="133">
        <f t="shared" si="42"/>
        <v>78</v>
      </c>
      <c r="M89" s="133"/>
      <c r="N89" s="133"/>
      <c r="O89" s="133">
        <f t="shared" si="46"/>
        <v>120</v>
      </c>
      <c r="P89" s="130"/>
      <c r="Q89" s="131"/>
      <c r="R89" s="131"/>
      <c r="S89" s="131"/>
      <c r="T89" s="131"/>
      <c r="U89" s="131"/>
      <c r="V89" s="131"/>
      <c r="W89" s="131"/>
      <c r="X89" s="131"/>
      <c r="Y89" s="306">
        <v>40</v>
      </c>
      <c r="Z89" s="301">
        <v>38</v>
      </c>
      <c r="AA89" s="301">
        <v>61</v>
      </c>
      <c r="AB89" s="301">
        <v>38</v>
      </c>
      <c r="AC89" s="301"/>
    </row>
    <row r="90" spans="1:29" ht="21" customHeight="1">
      <c r="A90" s="226" t="s">
        <v>130</v>
      </c>
      <c r="B90" s="226">
        <v>65</v>
      </c>
      <c r="C90" s="348">
        <v>49</v>
      </c>
      <c r="D90" s="550">
        <v>47</v>
      </c>
      <c r="E90" s="551">
        <v>28</v>
      </c>
      <c r="F90" s="551">
        <v>6</v>
      </c>
      <c r="G90" s="551"/>
      <c r="H90" s="551"/>
      <c r="I90" s="529">
        <f t="shared" si="47"/>
        <v>195</v>
      </c>
      <c r="J90" s="133"/>
      <c r="K90" s="133">
        <v>4</v>
      </c>
      <c r="L90" s="133">
        <f t="shared" si="42"/>
        <v>81</v>
      </c>
      <c r="M90" s="133"/>
      <c r="N90" s="133"/>
      <c r="O90" s="133">
        <f t="shared" si="46"/>
        <v>130</v>
      </c>
      <c r="P90" s="130"/>
      <c r="Q90" s="131"/>
      <c r="R90" s="131"/>
      <c r="S90" s="131"/>
      <c r="T90" s="131"/>
      <c r="U90" s="131"/>
      <c r="V90" s="131"/>
      <c r="W90" s="131"/>
      <c r="X90" s="131"/>
      <c r="Y90" s="306">
        <v>49</v>
      </c>
      <c r="Z90" s="301"/>
      <c r="AA90" s="301">
        <v>42</v>
      </c>
      <c r="AB90" s="301"/>
      <c r="AC90" s="301">
        <v>2</v>
      </c>
    </row>
    <row r="91" spans="1:29" ht="21" customHeight="1">
      <c r="A91" s="226" t="s">
        <v>131</v>
      </c>
      <c r="B91" s="226">
        <v>102</v>
      </c>
      <c r="C91" s="348">
        <v>63</v>
      </c>
      <c r="D91" s="550">
        <v>40</v>
      </c>
      <c r="E91" s="551">
        <v>78</v>
      </c>
      <c r="F91" s="551">
        <v>7</v>
      </c>
      <c r="G91" s="551"/>
      <c r="H91" s="551"/>
      <c r="I91" s="529">
        <f t="shared" si="47"/>
        <v>290</v>
      </c>
      <c r="J91" s="133"/>
      <c r="K91" s="133">
        <v>5</v>
      </c>
      <c r="L91" s="133">
        <f t="shared" si="42"/>
        <v>125</v>
      </c>
      <c r="M91" s="133"/>
      <c r="N91" s="133"/>
      <c r="O91" s="133">
        <f t="shared" si="46"/>
        <v>188</v>
      </c>
      <c r="P91" s="130"/>
      <c r="Q91" s="131"/>
      <c r="R91" s="131"/>
      <c r="S91" s="131"/>
      <c r="T91" s="131"/>
      <c r="U91" s="131"/>
      <c r="V91" s="131"/>
      <c r="W91" s="131"/>
      <c r="X91" s="131"/>
      <c r="Y91" s="306">
        <v>104</v>
      </c>
      <c r="Z91" s="301">
        <v>41</v>
      </c>
      <c r="AA91" s="301">
        <v>47</v>
      </c>
      <c r="AB91" s="301">
        <v>36</v>
      </c>
      <c r="AC91" s="301">
        <v>11</v>
      </c>
    </row>
    <row r="92" spans="1:29" ht="21" customHeight="1">
      <c r="A92" s="226" t="s">
        <v>132</v>
      </c>
      <c r="B92" s="226">
        <v>32</v>
      </c>
      <c r="C92" s="348">
        <v>23</v>
      </c>
      <c r="D92" s="550">
        <v>33</v>
      </c>
      <c r="E92" s="551">
        <v>28</v>
      </c>
      <c r="F92" s="551">
        <v>19</v>
      </c>
      <c r="G92" s="551"/>
      <c r="H92" s="551"/>
      <c r="I92" s="529">
        <f t="shared" si="47"/>
        <v>135</v>
      </c>
      <c r="J92" s="133"/>
      <c r="K92" s="133">
        <v>6</v>
      </c>
      <c r="L92" s="133">
        <f t="shared" si="42"/>
        <v>80</v>
      </c>
      <c r="M92" s="133"/>
      <c r="N92" s="133"/>
      <c r="O92" s="133">
        <f t="shared" si="46"/>
        <v>103</v>
      </c>
      <c r="P92" s="130"/>
      <c r="Q92" s="131"/>
      <c r="R92" s="131"/>
      <c r="S92" s="131"/>
      <c r="T92" s="131"/>
      <c r="U92" s="131"/>
      <c r="V92" s="131"/>
      <c r="W92" s="131"/>
      <c r="X92" s="131"/>
      <c r="Y92" s="306">
        <v>44</v>
      </c>
      <c r="Z92" s="301">
        <v>28</v>
      </c>
      <c r="AA92" s="301">
        <v>23</v>
      </c>
      <c r="AB92" s="301">
        <v>21</v>
      </c>
      <c r="AC92" s="301"/>
    </row>
    <row r="93" spans="1:29" ht="21" customHeight="1">
      <c r="A93" s="226" t="s">
        <v>133</v>
      </c>
      <c r="B93" s="226">
        <v>38</v>
      </c>
      <c r="C93" s="348">
        <v>42</v>
      </c>
      <c r="D93" s="550">
        <v>49</v>
      </c>
      <c r="E93" s="551">
        <v>70</v>
      </c>
      <c r="F93" s="551"/>
      <c r="G93" s="551"/>
      <c r="H93" s="551"/>
      <c r="I93" s="529">
        <f t="shared" si="47"/>
        <v>199</v>
      </c>
      <c r="J93" s="133"/>
      <c r="K93" s="133">
        <v>7</v>
      </c>
      <c r="L93" s="133">
        <f t="shared" si="42"/>
        <v>119</v>
      </c>
      <c r="M93" s="133"/>
      <c r="N93" s="133"/>
      <c r="O93" s="133">
        <f t="shared" si="46"/>
        <v>161</v>
      </c>
      <c r="P93" s="130"/>
      <c r="Q93" s="131"/>
      <c r="R93" s="131"/>
      <c r="S93" s="131"/>
      <c r="T93" s="131"/>
      <c r="U93" s="131"/>
      <c r="V93" s="131"/>
      <c r="W93" s="131"/>
      <c r="X93" s="131"/>
      <c r="Y93" s="306"/>
      <c r="Z93" s="301">
        <v>33</v>
      </c>
      <c r="AA93" s="301">
        <v>41</v>
      </c>
      <c r="AB93" s="301">
        <v>36</v>
      </c>
      <c r="AC93" s="301">
        <v>3</v>
      </c>
    </row>
    <row r="94" spans="1:29" ht="21" customHeight="1">
      <c r="A94" s="226" t="s">
        <v>134</v>
      </c>
      <c r="B94" s="226">
        <v>26</v>
      </c>
      <c r="C94" s="348">
        <v>27</v>
      </c>
      <c r="D94" s="550">
        <v>15</v>
      </c>
      <c r="E94" s="551"/>
      <c r="F94" s="551"/>
      <c r="G94" s="576"/>
      <c r="H94" s="551"/>
      <c r="I94" s="529">
        <f t="shared" si="47"/>
        <v>68</v>
      </c>
      <c r="J94" s="133"/>
      <c r="K94" s="133">
        <v>8</v>
      </c>
      <c r="L94" s="133">
        <f t="shared" si="42"/>
        <v>15</v>
      </c>
      <c r="M94" s="133"/>
      <c r="N94" s="133"/>
      <c r="O94" s="133">
        <f t="shared" si="46"/>
        <v>42</v>
      </c>
      <c r="P94" s="130" t="s">
        <v>135</v>
      </c>
      <c r="Q94" s="131"/>
      <c r="R94" s="131"/>
      <c r="S94" s="131"/>
      <c r="T94" s="131"/>
      <c r="U94" s="131"/>
      <c r="V94" s="131"/>
      <c r="W94" s="131"/>
      <c r="X94" s="131"/>
      <c r="Y94" s="306"/>
      <c r="Z94" s="301">
        <v>22</v>
      </c>
      <c r="AA94" s="301">
        <v>30</v>
      </c>
      <c r="AB94" s="301">
        <v>9</v>
      </c>
      <c r="AC94" s="301"/>
    </row>
    <row r="95" spans="1:29" ht="21" customHeight="1">
      <c r="A95" s="226" t="s">
        <v>136</v>
      </c>
      <c r="B95" s="226">
        <v>75</v>
      </c>
      <c r="C95" s="348">
        <v>64</v>
      </c>
      <c r="D95" s="550">
        <v>64</v>
      </c>
      <c r="E95" s="551">
        <v>69</v>
      </c>
      <c r="F95" s="551">
        <v>6</v>
      </c>
      <c r="G95" s="551"/>
      <c r="H95" s="551"/>
      <c r="I95" s="529">
        <f t="shared" si="47"/>
        <v>278</v>
      </c>
      <c r="J95" s="133"/>
      <c r="K95" s="133">
        <v>9</v>
      </c>
      <c r="L95" s="133">
        <f t="shared" si="42"/>
        <v>139</v>
      </c>
      <c r="M95" s="133"/>
      <c r="N95" s="133"/>
      <c r="O95" s="133">
        <f t="shared" si="46"/>
        <v>203</v>
      </c>
      <c r="P95" s="130"/>
      <c r="Q95" s="131"/>
      <c r="R95" s="131"/>
      <c r="S95" s="131"/>
      <c r="T95" s="131"/>
      <c r="U95" s="131"/>
      <c r="V95" s="131"/>
      <c r="W95" s="131"/>
      <c r="X95" s="131"/>
      <c r="Y95" s="306">
        <v>82</v>
      </c>
      <c r="Z95" s="301"/>
      <c r="AA95" s="301"/>
      <c r="AB95" s="301"/>
      <c r="AC95" s="301"/>
    </row>
    <row r="96" spans="1:29" ht="21" customHeight="1">
      <c r="A96" s="226" t="s">
        <v>137</v>
      </c>
      <c r="B96" s="226">
        <v>39</v>
      </c>
      <c r="C96" s="348">
        <v>36</v>
      </c>
      <c r="D96" s="550">
        <v>45</v>
      </c>
      <c r="E96" s="551"/>
      <c r="F96" s="551"/>
      <c r="G96" s="551"/>
      <c r="H96" s="551"/>
      <c r="I96" s="529">
        <f t="shared" si="47"/>
        <v>120</v>
      </c>
      <c r="J96" s="133"/>
      <c r="K96" s="133">
        <v>9</v>
      </c>
      <c r="L96" s="133">
        <f t="shared" si="42"/>
        <v>45</v>
      </c>
      <c r="M96" s="133"/>
      <c r="N96" s="133"/>
      <c r="O96" s="133">
        <f t="shared" si="46"/>
        <v>81</v>
      </c>
      <c r="P96" s="130"/>
      <c r="Q96" s="131"/>
      <c r="R96" s="131"/>
      <c r="S96" s="131"/>
      <c r="T96" s="131"/>
      <c r="U96" s="131"/>
      <c r="V96" s="131"/>
      <c r="W96" s="131"/>
      <c r="X96" s="131"/>
      <c r="Y96" s="306">
        <v>82</v>
      </c>
      <c r="Z96" s="301"/>
      <c r="AA96" s="301"/>
      <c r="AB96" s="301"/>
      <c r="AC96" s="301"/>
    </row>
    <row r="97" spans="1:30" ht="21" customHeight="1">
      <c r="A97" s="571" t="s">
        <v>138</v>
      </c>
      <c r="B97" s="571">
        <v>123</v>
      </c>
      <c r="C97" s="364">
        <v>74</v>
      </c>
      <c r="D97" s="572">
        <v>52</v>
      </c>
      <c r="E97" s="573">
        <v>41</v>
      </c>
      <c r="F97" s="573">
        <v>7</v>
      </c>
      <c r="G97" s="573"/>
      <c r="H97" s="573"/>
      <c r="I97" s="539">
        <f t="shared" si="47"/>
        <v>297</v>
      </c>
      <c r="J97" s="133"/>
      <c r="K97" s="133">
        <v>10</v>
      </c>
      <c r="L97" s="133">
        <f t="shared" si="42"/>
        <v>100</v>
      </c>
      <c r="M97" s="133"/>
      <c r="N97" s="133"/>
      <c r="O97" s="133">
        <f t="shared" si="46"/>
        <v>174</v>
      </c>
      <c r="P97" s="130"/>
      <c r="Q97" s="131"/>
      <c r="R97" s="131"/>
      <c r="S97" s="131"/>
      <c r="T97" s="131"/>
      <c r="U97" s="131"/>
      <c r="V97" s="131"/>
      <c r="W97" s="131"/>
      <c r="X97" s="131"/>
      <c r="Y97" s="306">
        <v>97</v>
      </c>
      <c r="Z97" s="301">
        <v>49</v>
      </c>
      <c r="AA97" s="301">
        <v>43</v>
      </c>
      <c r="AB97" s="301">
        <v>52</v>
      </c>
      <c r="AC97" s="301">
        <v>5</v>
      </c>
    </row>
    <row r="98" spans="1:30" ht="21" customHeight="1">
      <c r="A98" s="361" t="s">
        <v>6</v>
      </c>
      <c r="B98" s="49">
        <f>SUM(B86:B97)</f>
        <v>724</v>
      </c>
      <c r="C98" s="49">
        <f>SUM(C86:C97)</f>
        <v>530</v>
      </c>
      <c r="D98" s="49">
        <f>SUM(D86:D97)</f>
        <v>501</v>
      </c>
      <c r="E98" s="49">
        <f t="shared" ref="E98:I98" si="48">SUM(E86:E97)</f>
        <v>441</v>
      </c>
      <c r="F98" s="49">
        <f t="shared" si="48"/>
        <v>59</v>
      </c>
      <c r="G98" s="49">
        <f t="shared" si="48"/>
        <v>0</v>
      </c>
      <c r="H98" s="49">
        <f t="shared" si="48"/>
        <v>0</v>
      </c>
      <c r="I98" s="49">
        <f t="shared" si="48"/>
        <v>2255</v>
      </c>
      <c r="J98" s="135"/>
      <c r="K98" s="135"/>
      <c r="L98" s="135"/>
      <c r="M98" s="135"/>
      <c r="N98" s="135"/>
      <c r="O98" s="135"/>
      <c r="P98" s="134"/>
      <c r="Q98" s="135">
        <f>37+11+5+6</f>
        <v>59</v>
      </c>
      <c r="R98" s="135"/>
      <c r="S98" s="135"/>
      <c r="T98" s="135"/>
      <c r="U98" s="135"/>
      <c r="V98" s="135"/>
      <c r="W98" s="135"/>
      <c r="X98" s="135"/>
      <c r="Y98" s="306">
        <f>SUM(Y86:Y97)</f>
        <v>674</v>
      </c>
      <c r="Z98" s="301">
        <f>SUM(Z86:Z97)</f>
        <v>360</v>
      </c>
      <c r="AA98" s="301">
        <f>SUM(AA86:AA97)</f>
        <v>431</v>
      </c>
      <c r="AB98" s="301">
        <f>SUM(AB86:AB97)</f>
        <v>301</v>
      </c>
      <c r="AC98" s="301">
        <f>SUM(AC86:AC97)</f>
        <v>51</v>
      </c>
    </row>
    <row r="99" spans="1:30" ht="21" customHeight="1">
      <c r="A99" s="266" t="s">
        <v>139</v>
      </c>
      <c r="B99" s="488">
        <f t="shared" ref="B99" si="49">SUM(B112,B117,B121)</f>
        <v>905</v>
      </c>
      <c r="C99" s="488">
        <f t="shared" ref="C99:I99" si="50">SUM(C112,C117,C121)</f>
        <v>734</v>
      </c>
      <c r="D99" s="488">
        <f t="shared" si="50"/>
        <v>597</v>
      </c>
      <c r="E99" s="488">
        <f t="shared" si="50"/>
        <v>463</v>
      </c>
      <c r="F99" s="488">
        <f t="shared" si="50"/>
        <v>42</v>
      </c>
      <c r="G99" s="488">
        <f t="shared" ref="G99" si="51">SUM(G112,G117,G121)</f>
        <v>0</v>
      </c>
      <c r="H99" s="488">
        <f t="shared" si="50"/>
        <v>0</v>
      </c>
      <c r="I99" s="488">
        <f t="shared" si="50"/>
        <v>2741</v>
      </c>
      <c r="J99" s="140">
        <f>I99-4</f>
        <v>2737</v>
      </c>
      <c r="K99" s="140"/>
      <c r="L99" s="140"/>
      <c r="M99" s="140">
        <f>1981-2</f>
        <v>1979</v>
      </c>
      <c r="N99" s="140"/>
      <c r="O99" s="140"/>
      <c r="P99" s="502">
        <v>2215</v>
      </c>
      <c r="Q99" s="140"/>
      <c r="R99" s="140"/>
      <c r="S99" s="140"/>
      <c r="T99" s="140"/>
      <c r="U99" s="140"/>
      <c r="V99" s="140"/>
      <c r="W99" s="140"/>
      <c r="X99" s="140"/>
      <c r="AA99" s="301"/>
    </row>
    <row r="100" spans="1:30" ht="21" customHeight="1">
      <c r="A100" s="223" t="s">
        <v>140</v>
      </c>
      <c r="B100" s="223">
        <v>48</v>
      </c>
      <c r="C100" s="223">
        <v>33</v>
      </c>
      <c r="D100" s="548">
        <v>35</v>
      </c>
      <c r="E100" s="549">
        <v>29</v>
      </c>
      <c r="F100" s="549"/>
      <c r="G100" s="549"/>
      <c r="H100" s="549"/>
      <c r="I100" s="526">
        <f>SUM(B100:H100)</f>
        <v>145</v>
      </c>
      <c r="J100" s="133"/>
      <c r="K100" s="133"/>
      <c r="L100" s="133">
        <f t="shared" ref="L100:L110" si="52">SUM(D100:H100)</f>
        <v>64</v>
      </c>
      <c r="M100" s="133"/>
      <c r="N100" s="133"/>
      <c r="O100" s="133">
        <f t="shared" ref="O100:O110" si="53">C100+D100+E100+F100+G100</f>
        <v>97</v>
      </c>
      <c r="P100" s="130"/>
      <c r="Q100" s="131"/>
      <c r="R100" s="131"/>
      <c r="S100" s="131"/>
      <c r="T100" s="131"/>
      <c r="U100" s="131"/>
      <c r="V100" s="131"/>
      <c r="W100" s="131"/>
      <c r="X100" s="131"/>
      <c r="Y100" s="306">
        <v>47</v>
      </c>
      <c r="Z100" s="301">
        <v>23</v>
      </c>
      <c r="AA100" s="301">
        <v>27</v>
      </c>
      <c r="AB100" s="301">
        <v>17</v>
      </c>
      <c r="AC100" s="301"/>
    </row>
    <row r="101" spans="1:30" ht="21" customHeight="1">
      <c r="A101" s="223" t="s">
        <v>141</v>
      </c>
      <c r="B101" s="223">
        <v>40</v>
      </c>
      <c r="C101" s="223">
        <v>32</v>
      </c>
      <c r="D101" s="548">
        <v>25</v>
      </c>
      <c r="E101" s="549">
        <v>26</v>
      </c>
      <c r="F101" s="549">
        <v>1</v>
      </c>
      <c r="G101" s="549"/>
      <c r="H101" s="549"/>
      <c r="I101" s="529">
        <f t="shared" ref="I101:I111" si="54">SUM(B101:H101)</f>
        <v>124</v>
      </c>
      <c r="J101" s="133"/>
      <c r="K101" s="133"/>
      <c r="L101" s="133">
        <f t="shared" si="52"/>
        <v>52</v>
      </c>
      <c r="M101" s="133"/>
      <c r="N101" s="133"/>
      <c r="O101" s="133">
        <f t="shared" si="53"/>
        <v>84</v>
      </c>
      <c r="P101" s="130"/>
      <c r="Q101" s="131"/>
      <c r="R101" s="131"/>
      <c r="S101" s="131"/>
      <c r="T101" s="131"/>
      <c r="U101" s="131"/>
      <c r="V101" s="131"/>
      <c r="W101" s="131"/>
      <c r="X101" s="131"/>
      <c r="Y101" s="306">
        <v>47</v>
      </c>
      <c r="Z101" s="301">
        <v>23</v>
      </c>
      <c r="AA101" s="301">
        <v>27</v>
      </c>
      <c r="AB101" s="301">
        <v>17</v>
      </c>
      <c r="AC101" s="301"/>
    </row>
    <row r="102" spans="1:30" ht="21" customHeight="1">
      <c r="A102" s="226" t="s">
        <v>142</v>
      </c>
      <c r="B102" s="226">
        <v>193</v>
      </c>
      <c r="C102" s="226">
        <v>155</v>
      </c>
      <c r="D102" s="550">
        <v>193</v>
      </c>
      <c r="E102" s="551">
        <v>132</v>
      </c>
      <c r="F102" s="551">
        <v>13</v>
      </c>
      <c r="G102" s="551"/>
      <c r="H102" s="551"/>
      <c r="I102" s="529">
        <f t="shared" si="54"/>
        <v>686</v>
      </c>
      <c r="J102" s="133"/>
      <c r="K102" s="133"/>
      <c r="L102" s="133">
        <f t="shared" si="52"/>
        <v>338</v>
      </c>
      <c r="M102" s="133"/>
      <c r="N102" s="133"/>
      <c r="O102" s="133">
        <f t="shared" si="53"/>
        <v>493</v>
      </c>
      <c r="P102" s="132"/>
      <c r="Q102" s="131"/>
      <c r="R102" s="131"/>
      <c r="S102" s="131"/>
      <c r="T102" s="131"/>
      <c r="U102" s="131"/>
      <c r="V102" s="131"/>
      <c r="W102" s="131"/>
      <c r="X102" s="131"/>
      <c r="Y102" s="306">
        <v>228</v>
      </c>
      <c r="Z102" s="301">
        <v>110</v>
      </c>
      <c r="AA102" s="301">
        <v>123</v>
      </c>
      <c r="AB102" s="301">
        <v>93</v>
      </c>
      <c r="AC102" s="301"/>
    </row>
    <row r="103" spans="1:30" ht="21" customHeight="1">
      <c r="A103" s="226" t="s">
        <v>252</v>
      </c>
      <c r="B103" s="226">
        <v>60</v>
      </c>
      <c r="C103" s="226">
        <v>46</v>
      </c>
      <c r="D103" s="550">
        <v>33</v>
      </c>
      <c r="E103" s="551">
        <v>35</v>
      </c>
      <c r="F103" s="551">
        <v>4</v>
      </c>
      <c r="G103" s="551"/>
      <c r="H103" s="551"/>
      <c r="I103" s="529">
        <f t="shared" si="54"/>
        <v>178</v>
      </c>
      <c r="J103" s="133"/>
      <c r="K103" s="133"/>
      <c r="L103" s="133">
        <f t="shared" si="52"/>
        <v>72</v>
      </c>
      <c r="M103" s="133"/>
      <c r="N103" s="133"/>
      <c r="O103" s="133">
        <f t="shared" si="53"/>
        <v>118</v>
      </c>
      <c r="P103" s="132"/>
      <c r="Q103" s="131"/>
      <c r="R103" s="131"/>
      <c r="S103" s="131"/>
      <c r="T103" s="131"/>
      <c r="U103" s="131"/>
      <c r="V103" s="131"/>
      <c r="W103" s="131"/>
      <c r="X103" s="131"/>
      <c r="Y103" s="306">
        <v>55</v>
      </c>
      <c r="Z103" s="301">
        <v>51</v>
      </c>
      <c r="AA103" s="301">
        <v>30</v>
      </c>
      <c r="AB103" s="301">
        <v>22</v>
      </c>
      <c r="AC103" s="301">
        <v>10</v>
      </c>
    </row>
    <row r="104" spans="1:30" ht="21" customHeight="1">
      <c r="A104" s="226" t="s">
        <v>253</v>
      </c>
      <c r="B104" s="226">
        <v>39</v>
      </c>
      <c r="C104" s="226">
        <v>35</v>
      </c>
      <c r="D104" s="550"/>
      <c r="E104" s="551"/>
      <c r="F104" s="551"/>
      <c r="G104" s="551"/>
      <c r="H104" s="551"/>
      <c r="I104" s="529">
        <f t="shared" si="54"/>
        <v>74</v>
      </c>
      <c r="J104" s="133"/>
      <c r="K104" s="133"/>
      <c r="L104" s="133">
        <f t="shared" ref="L104" si="55">SUM(D104:H104)</f>
        <v>0</v>
      </c>
      <c r="M104" s="133"/>
      <c r="N104" s="133"/>
      <c r="O104" s="133">
        <f t="shared" si="53"/>
        <v>35</v>
      </c>
      <c r="P104" s="130"/>
      <c r="Q104" s="131"/>
      <c r="R104" s="131"/>
      <c r="S104" s="131"/>
      <c r="T104" s="131"/>
      <c r="U104" s="131"/>
      <c r="V104" s="131"/>
      <c r="W104" s="131"/>
      <c r="X104" s="131"/>
      <c r="Y104" s="306">
        <v>55</v>
      </c>
      <c r="Z104" s="301">
        <v>51</v>
      </c>
      <c r="AA104" s="301">
        <v>30</v>
      </c>
      <c r="AB104" s="301">
        <v>22</v>
      </c>
      <c r="AC104" s="301">
        <v>10</v>
      </c>
    </row>
    <row r="105" spans="1:30" ht="21" customHeight="1">
      <c r="A105" s="226" t="s">
        <v>144</v>
      </c>
      <c r="B105" s="226">
        <v>82</v>
      </c>
      <c r="C105" s="226">
        <v>70</v>
      </c>
      <c r="D105" s="550">
        <v>44</v>
      </c>
      <c r="E105" s="551">
        <v>53</v>
      </c>
      <c r="F105" s="551">
        <v>5</v>
      </c>
      <c r="G105" s="551"/>
      <c r="H105" s="551"/>
      <c r="I105" s="529">
        <f t="shared" si="54"/>
        <v>254</v>
      </c>
      <c r="J105" s="133"/>
      <c r="K105" s="133"/>
      <c r="L105" s="133">
        <f t="shared" si="52"/>
        <v>102</v>
      </c>
      <c r="M105" s="133"/>
      <c r="N105" s="133"/>
      <c r="O105" s="133">
        <f t="shared" si="53"/>
        <v>172</v>
      </c>
      <c r="P105" s="132"/>
      <c r="Q105" s="131"/>
      <c r="R105" s="131"/>
      <c r="S105" s="131"/>
      <c r="T105" s="131"/>
      <c r="U105" s="131"/>
      <c r="V105" s="131"/>
      <c r="W105" s="131"/>
      <c r="X105" s="131"/>
      <c r="Y105" s="306">
        <v>91</v>
      </c>
      <c r="Z105" s="301">
        <v>72</v>
      </c>
      <c r="AA105" s="301">
        <v>42</v>
      </c>
      <c r="AB105" s="301">
        <v>50</v>
      </c>
      <c r="AC105" s="301">
        <v>7</v>
      </c>
    </row>
    <row r="106" spans="1:30" ht="21" customHeight="1">
      <c r="A106" s="226" t="s">
        <v>145</v>
      </c>
      <c r="B106" s="71"/>
      <c r="C106" s="71"/>
      <c r="D106" s="550">
        <v>41</v>
      </c>
      <c r="E106" s="551">
        <v>56</v>
      </c>
      <c r="F106" s="551">
        <v>1</v>
      </c>
      <c r="G106" s="551"/>
      <c r="H106" s="551"/>
      <c r="I106" s="529">
        <f t="shared" si="54"/>
        <v>98</v>
      </c>
      <c r="J106" s="131"/>
      <c r="K106" s="131"/>
      <c r="L106" s="131">
        <f t="shared" si="52"/>
        <v>98</v>
      </c>
      <c r="M106" s="131"/>
      <c r="N106" s="131"/>
      <c r="O106" s="131">
        <f t="shared" si="53"/>
        <v>98</v>
      </c>
      <c r="P106" s="130"/>
      <c r="Q106" s="131"/>
      <c r="R106" s="131"/>
      <c r="S106" s="131"/>
      <c r="T106" s="131"/>
      <c r="U106" s="131"/>
      <c r="V106" s="131"/>
      <c r="W106" s="131"/>
      <c r="X106" s="131"/>
      <c r="Y106" s="306">
        <v>48</v>
      </c>
      <c r="Z106" s="301">
        <v>41</v>
      </c>
      <c r="AA106" s="301">
        <v>24</v>
      </c>
      <c r="AB106" s="301">
        <v>21</v>
      </c>
      <c r="AC106" s="301">
        <v>13</v>
      </c>
    </row>
    <row r="107" spans="1:30" ht="21" customHeight="1">
      <c r="A107" s="226" t="s">
        <v>147</v>
      </c>
      <c r="B107" s="226"/>
      <c r="C107" s="226">
        <v>81</v>
      </c>
      <c r="D107" s="550">
        <v>28</v>
      </c>
      <c r="E107" s="551">
        <v>30</v>
      </c>
      <c r="F107" s="551">
        <v>10</v>
      </c>
      <c r="G107" s="551"/>
      <c r="H107" s="551"/>
      <c r="I107" s="529">
        <f t="shared" si="54"/>
        <v>149</v>
      </c>
      <c r="J107" s="133"/>
      <c r="K107" s="133"/>
      <c r="L107" s="133">
        <f t="shared" si="52"/>
        <v>68</v>
      </c>
      <c r="M107" s="133"/>
      <c r="N107" s="133"/>
      <c r="O107" s="133">
        <f t="shared" si="53"/>
        <v>149</v>
      </c>
      <c r="P107" s="130">
        <f>I107+I114</f>
        <v>149</v>
      </c>
      <c r="Q107" s="131">
        <f>I107+I114</f>
        <v>149</v>
      </c>
      <c r="R107" s="131">
        <f>C107+C114</f>
        <v>81</v>
      </c>
      <c r="S107" s="131">
        <f>D107+D114</f>
        <v>28</v>
      </c>
      <c r="T107" s="131">
        <f>O107+O114</f>
        <v>149</v>
      </c>
      <c r="U107" s="131"/>
      <c r="V107" s="131"/>
      <c r="W107" s="131"/>
      <c r="X107" s="131"/>
      <c r="Y107" s="306">
        <v>49</v>
      </c>
      <c r="Z107" s="301">
        <v>56</v>
      </c>
      <c r="AA107" s="301">
        <v>36</v>
      </c>
      <c r="AB107" s="301">
        <v>60</v>
      </c>
      <c r="AC107" s="301">
        <v>7</v>
      </c>
      <c r="AD107" s="301"/>
    </row>
    <row r="108" spans="1:30" ht="21" customHeight="1">
      <c r="A108" s="226" t="s">
        <v>148</v>
      </c>
      <c r="B108" s="226">
        <v>57</v>
      </c>
      <c r="C108" s="226">
        <v>43</v>
      </c>
      <c r="D108" s="577">
        <v>49</v>
      </c>
      <c r="E108" s="551">
        <v>31</v>
      </c>
      <c r="F108" s="551"/>
      <c r="G108" s="551"/>
      <c r="H108" s="551"/>
      <c r="I108" s="529">
        <f t="shared" si="54"/>
        <v>180</v>
      </c>
      <c r="J108" s="133"/>
      <c r="K108" s="133"/>
      <c r="L108" s="133">
        <f t="shared" si="52"/>
        <v>80</v>
      </c>
      <c r="M108" s="133">
        <f>83+38</f>
        <v>121</v>
      </c>
      <c r="N108" s="133"/>
      <c r="O108" s="133">
        <f t="shared" si="53"/>
        <v>123</v>
      </c>
      <c r="P108" s="130"/>
      <c r="Q108" s="131"/>
      <c r="R108" s="131"/>
      <c r="S108" s="131"/>
      <c r="T108" s="131"/>
      <c r="U108" s="131"/>
      <c r="V108" s="131"/>
      <c r="W108" s="131"/>
      <c r="X108" s="131"/>
      <c r="Y108" s="306"/>
      <c r="Z108" s="301">
        <v>31</v>
      </c>
      <c r="AA108" s="301"/>
      <c r="AB108" s="301"/>
      <c r="AC108" s="301"/>
      <c r="AD108" s="301"/>
    </row>
    <row r="109" spans="1:30" ht="21" customHeight="1">
      <c r="A109" s="226" t="s">
        <v>149</v>
      </c>
      <c r="B109" s="226">
        <v>143</v>
      </c>
      <c r="C109" s="226">
        <v>134</v>
      </c>
      <c r="D109" s="550">
        <v>82</v>
      </c>
      <c r="E109" s="551">
        <f>36+1</f>
        <v>37</v>
      </c>
      <c r="F109" s="551">
        <v>6</v>
      </c>
      <c r="G109" s="551"/>
      <c r="H109" s="551"/>
      <c r="I109" s="529">
        <f t="shared" si="54"/>
        <v>402</v>
      </c>
      <c r="J109" s="133"/>
      <c r="K109" s="133"/>
      <c r="L109" s="133">
        <f t="shared" si="52"/>
        <v>125</v>
      </c>
      <c r="M109" s="133"/>
      <c r="N109" s="133"/>
      <c r="O109" s="133">
        <f t="shared" si="53"/>
        <v>259</v>
      </c>
      <c r="P109" s="130">
        <f>I109+I113</f>
        <v>402</v>
      </c>
      <c r="Q109" s="131">
        <f>C109+C113</f>
        <v>134</v>
      </c>
      <c r="R109" s="131">
        <f>D109+D113</f>
        <v>82</v>
      </c>
      <c r="S109" s="131"/>
      <c r="T109" s="131">
        <f>O109+O113</f>
        <v>259</v>
      </c>
      <c r="U109" s="131"/>
      <c r="V109" s="131"/>
      <c r="W109" s="131"/>
      <c r="X109" s="131"/>
      <c r="Y109" s="306">
        <v>116</v>
      </c>
      <c r="Z109" s="301">
        <v>51</v>
      </c>
      <c r="AA109" s="301"/>
      <c r="AB109" s="301"/>
      <c r="AC109" s="301"/>
      <c r="AD109" s="301"/>
    </row>
    <row r="110" spans="1:30" ht="21" customHeight="1">
      <c r="A110" s="226" t="s">
        <v>150</v>
      </c>
      <c r="B110" s="226">
        <v>128</v>
      </c>
      <c r="C110" s="226">
        <v>105</v>
      </c>
      <c r="D110" s="550">
        <v>67</v>
      </c>
      <c r="E110" s="551">
        <f>32+2</f>
        <v>34</v>
      </c>
      <c r="F110" s="551">
        <v>2</v>
      </c>
      <c r="G110" s="551"/>
      <c r="H110" s="551"/>
      <c r="I110" s="539">
        <f t="shared" si="54"/>
        <v>336</v>
      </c>
      <c r="J110" s="133"/>
      <c r="K110" s="133"/>
      <c r="L110" s="133">
        <f t="shared" si="52"/>
        <v>103</v>
      </c>
      <c r="M110" s="133"/>
      <c r="N110" s="133"/>
      <c r="O110" s="133">
        <f t="shared" si="53"/>
        <v>208</v>
      </c>
      <c r="P110" s="130">
        <f>C109+C113</f>
        <v>134</v>
      </c>
      <c r="Q110" s="131">
        <f>D109+D113</f>
        <v>82</v>
      </c>
      <c r="R110" s="131"/>
      <c r="S110" s="131">
        <f>O110+O116</f>
        <v>208</v>
      </c>
      <c r="T110" s="131"/>
      <c r="U110" s="131"/>
      <c r="V110" s="131"/>
      <c r="W110" s="131"/>
      <c r="X110" s="131"/>
      <c r="Y110" s="306">
        <v>42</v>
      </c>
      <c r="Z110" s="301">
        <v>40</v>
      </c>
      <c r="AA110" s="301">
        <v>77</v>
      </c>
      <c r="AB110" s="301">
        <v>61</v>
      </c>
      <c r="AC110" s="301">
        <v>5</v>
      </c>
      <c r="AD110" s="301"/>
    </row>
    <row r="111" spans="1:30" ht="21" customHeight="1">
      <c r="A111" s="574" t="s">
        <v>254</v>
      </c>
      <c r="B111" s="574">
        <v>115</v>
      </c>
      <c r="C111" s="574"/>
      <c r="D111" s="578"/>
      <c r="E111" s="579"/>
      <c r="F111" s="579"/>
      <c r="G111" s="579"/>
      <c r="H111" s="579"/>
      <c r="I111" s="539">
        <f t="shared" si="54"/>
        <v>115</v>
      </c>
      <c r="J111" s="133"/>
      <c r="K111" s="133"/>
      <c r="L111" s="133"/>
      <c r="M111" s="133"/>
      <c r="N111" s="133"/>
      <c r="O111" s="133"/>
      <c r="P111" s="130"/>
      <c r="Q111" s="131"/>
      <c r="R111" s="131"/>
      <c r="S111" s="131"/>
      <c r="T111" s="131"/>
      <c r="U111" s="131"/>
      <c r="V111" s="131"/>
      <c r="W111" s="131"/>
      <c r="X111" s="131"/>
      <c r="Y111" s="306"/>
      <c r="Z111" s="301"/>
      <c r="AA111" s="301"/>
      <c r="AB111" s="301"/>
      <c r="AC111" s="301"/>
      <c r="AD111" s="301"/>
    </row>
    <row r="112" spans="1:30" ht="21" customHeight="1">
      <c r="A112" s="267" t="s">
        <v>151</v>
      </c>
      <c r="B112" s="488">
        <f t="shared" ref="B112:G112" si="56">SUM(B100:B111)</f>
        <v>905</v>
      </c>
      <c r="C112" s="488">
        <f t="shared" si="56"/>
        <v>734</v>
      </c>
      <c r="D112" s="488">
        <f t="shared" si="56"/>
        <v>597</v>
      </c>
      <c r="E112" s="488">
        <f t="shared" si="56"/>
        <v>463</v>
      </c>
      <c r="F112" s="488">
        <f t="shared" si="56"/>
        <v>42</v>
      </c>
      <c r="G112" s="488">
        <f t="shared" si="56"/>
        <v>0</v>
      </c>
      <c r="H112" s="488">
        <f>SUM(H100:H110)</f>
        <v>0</v>
      </c>
      <c r="I112" s="488">
        <f>SUM(I100:I111)</f>
        <v>2741</v>
      </c>
      <c r="J112" s="140"/>
      <c r="K112" s="140"/>
      <c r="L112" s="140"/>
      <c r="M112" s="140"/>
      <c r="N112" s="140"/>
      <c r="O112" s="140"/>
      <c r="P112" s="139">
        <f>D109+D113</f>
        <v>82</v>
      </c>
      <c r="Q112" s="140"/>
      <c r="R112" s="140">
        <f>D110+D116</f>
        <v>67</v>
      </c>
      <c r="S112" s="140"/>
      <c r="T112" s="140"/>
      <c r="U112" s="140"/>
      <c r="V112" s="140"/>
      <c r="W112" s="140"/>
      <c r="X112" s="140"/>
      <c r="Y112" s="301">
        <f>SUM(Y100:Y110)</f>
        <v>778</v>
      </c>
      <c r="Z112" s="301">
        <f>SUM(Z100:Z110)</f>
        <v>549</v>
      </c>
      <c r="AA112" s="301">
        <f>SUM(AA100:AA110)</f>
        <v>416</v>
      </c>
      <c r="AB112" s="301">
        <f>SUM(AB100:AB110)</f>
        <v>363</v>
      </c>
      <c r="AC112" s="301">
        <f>SUM(AC100:AC110)</f>
        <v>52</v>
      </c>
    </row>
    <row r="113" spans="1:29" ht="21" customHeight="1">
      <c r="A113" s="226" t="s">
        <v>153</v>
      </c>
      <c r="B113" s="71"/>
      <c r="C113" s="71"/>
      <c r="D113" s="553"/>
      <c r="E113" s="434"/>
      <c r="F113" s="434"/>
      <c r="G113" s="434"/>
      <c r="H113" s="434"/>
      <c r="I113" s="434">
        <f>SUM(C113:H113)</f>
        <v>0</v>
      </c>
      <c r="J113" s="133"/>
      <c r="K113" s="133"/>
      <c r="L113" s="133">
        <f>SUM(D113:H113)</f>
        <v>0</v>
      </c>
      <c r="M113" s="133"/>
      <c r="N113" s="133"/>
      <c r="O113" s="133">
        <f>C113+D113+E113+F113+G113</f>
        <v>0</v>
      </c>
      <c r="P113" s="517">
        <f>I110+I116</f>
        <v>336</v>
      </c>
      <c r="Q113" s="131"/>
      <c r="R113" s="131"/>
      <c r="S113" s="131"/>
      <c r="T113" s="131"/>
      <c r="U113" s="131"/>
      <c r="V113" s="131"/>
      <c r="W113" s="131"/>
      <c r="X113" s="131"/>
      <c r="Y113" s="306">
        <v>59</v>
      </c>
      <c r="Z113" s="301">
        <v>51</v>
      </c>
      <c r="AA113" s="301"/>
      <c r="AB113" s="301"/>
      <c r="AC113" s="301"/>
    </row>
    <row r="114" spans="1:29" ht="21" customHeight="1">
      <c r="A114" s="226" t="s">
        <v>154</v>
      </c>
      <c r="B114" s="71"/>
      <c r="C114" s="71"/>
      <c r="D114" s="553"/>
      <c r="E114" s="434"/>
      <c r="F114" s="434"/>
      <c r="G114" s="434"/>
      <c r="H114" s="434"/>
      <c r="I114" s="275">
        <f>SUM(B114:H114)</f>
        <v>0</v>
      </c>
      <c r="J114" s="133"/>
      <c r="K114" s="133"/>
      <c r="L114" s="133">
        <f>SUM(D114:H114)</f>
        <v>0</v>
      </c>
      <c r="M114" s="133"/>
      <c r="N114" s="133"/>
      <c r="O114" s="133">
        <f>C114+D114+E114+F114+G114</f>
        <v>0</v>
      </c>
      <c r="P114" s="130">
        <f>I109+I113</f>
        <v>402</v>
      </c>
      <c r="Q114" s="131">
        <f>57+68</f>
        <v>125</v>
      </c>
      <c r="R114" s="131"/>
      <c r="S114" s="131"/>
      <c r="T114" s="131"/>
      <c r="U114" s="131"/>
      <c r="V114" s="131"/>
      <c r="W114" s="131"/>
      <c r="X114" s="131"/>
      <c r="Y114" s="306">
        <v>82</v>
      </c>
      <c r="Z114" s="301">
        <v>90</v>
      </c>
      <c r="AA114" s="301">
        <v>7</v>
      </c>
      <c r="AB114" s="301"/>
      <c r="AC114" s="301">
        <v>1</v>
      </c>
    </row>
    <row r="115" spans="1:29" ht="21" hidden="1" customHeight="1">
      <c r="A115" s="71" t="s">
        <v>155</v>
      </c>
      <c r="B115" s="71"/>
      <c r="C115" s="71"/>
      <c r="D115" s="553"/>
      <c r="E115" s="434"/>
      <c r="F115" s="434"/>
      <c r="G115" s="434"/>
      <c r="H115" s="434"/>
      <c r="I115" s="434">
        <f>SUM(D115:H115)</f>
        <v>0</v>
      </c>
      <c r="J115" s="131"/>
      <c r="K115" s="131"/>
      <c r="L115" s="131">
        <f>SUM(D115:H115)</f>
        <v>0</v>
      </c>
      <c r="M115" s="131"/>
      <c r="N115" s="131"/>
      <c r="O115" s="131"/>
      <c r="P115" s="130"/>
      <c r="Q115" s="131"/>
      <c r="R115" s="131"/>
      <c r="S115" s="131"/>
      <c r="T115" s="131"/>
      <c r="U115" s="131"/>
      <c r="V115" s="131"/>
      <c r="W115" s="131"/>
      <c r="X115" s="131"/>
      <c r="Y115" s="306">
        <v>82</v>
      </c>
      <c r="Z115" s="301">
        <v>90</v>
      </c>
      <c r="AA115" s="301">
        <v>7</v>
      </c>
      <c r="AB115" s="301"/>
      <c r="AC115" s="301">
        <v>1</v>
      </c>
    </row>
    <row r="116" spans="1:29" ht="21" customHeight="1">
      <c r="A116" s="571" t="s">
        <v>156</v>
      </c>
      <c r="B116" s="69"/>
      <c r="C116" s="69"/>
      <c r="D116" s="569"/>
      <c r="E116" s="497"/>
      <c r="F116" s="497"/>
      <c r="G116" s="497"/>
      <c r="H116" s="497"/>
      <c r="I116" s="273">
        <f>SUM(B116:H116)</f>
        <v>0</v>
      </c>
      <c r="J116" s="133"/>
      <c r="K116" s="133"/>
      <c r="L116" s="133">
        <f>SUM(D116:H116)</f>
        <v>0</v>
      </c>
      <c r="M116" s="133"/>
      <c r="N116" s="133"/>
      <c r="O116" s="133">
        <f>C116+D116+E116+F116+G116</f>
        <v>0</v>
      </c>
      <c r="P116" s="132">
        <f>I116+I110</f>
        <v>336</v>
      </c>
      <c r="Q116" s="133">
        <f>C110+C116</f>
        <v>105</v>
      </c>
      <c r="R116" s="133">
        <f>D110+D116</f>
        <v>67</v>
      </c>
      <c r="S116" s="131"/>
      <c r="T116" s="131"/>
      <c r="U116" s="131"/>
      <c r="V116" s="131"/>
      <c r="W116" s="131"/>
      <c r="X116" s="131"/>
      <c r="Y116" s="306">
        <v>57</v>
      </c>
      <c r="Z116" s="301">
        <v>68</v>
      </c>
      <c r="AA116" s="301">
        <v>35</v>
      </c>
      <c r="AB116" s="301"/>
      <c r="AC116" s="301"/>
    </row>
    <row r="117" spans="1:29" ht="21" customHeight="1">
      <c r="A117" s="60" t="s">
        <v>157</v>
      </c>
      <c r="B117" s="49">
        <f t="shared" ref="B117:I117" si="57">SUM(B113:B116)</f>
        <v>0</v>
      </c>
      <c r="C117" s="49">
        <f t="shared" si="57"/>
        <v>0</v>
      </c>
      <c r="D117" s="49">
        <f t="shared" si="57"/>
        <v>0</v>
      </c>
      <c r="E117" s="49">
        <f t="shared" si="57"/>
        <v>0</v>
      </c>
      <c r="F117" s="49">
        <f t="shared" si="57"/>
        <v>0</v>
      </c>
      <c r="G117" s="49">
        <f t="shared" si="57"/>
        <v>0</v>
      </c>
      <c r="H117" s="49">
        <f t="shared" si="57"/>
        <v>0</v>
      </c>
      <c r="I117" s="49">
        <f t="shared" si="57"/>
        <v>0</v>
      </c>
      <c r="J117" s="135"/>
      <c r="K117" s="135"/>
      <c r="L117" s="135"/>
      <c r="M117" s="135"/>
      <c r="N117" s="135"/>
      <c r="O117" s="135"/>
      <c r="P117" s="134">
        <f>D112+D117</f>
        <v>597</v>
      </c>
      <c r="Q117" s="135">
        <f>34+46</f>
        <v>80</v>
      </c>
      <c r="R117" s="135"/>
      <c r="S117" s="135"/>
      <c r="T117" s="135"/>
      <c r="U117" s="135"/>
      <c r="V117" s="135"/>
      <c r="W117" s="135"/>
      <c r="X117" s="135"/>
      <c r="Y117" s="518">
        <f>SUM(Y113:Y116)</f>
        <v>280</v>
      </c>
      <c r="Z117" s="301">
        <f>SUM(Z113:Z116)</f>
        <v>299</v>
      </c>
      <c r="AA117" s="301">
        <f>SUM(AA113:AA116)</f>
        <v>49</v>
      </c>
      <c r="AC117" s="301">
        <f>SUM(AC113:AC116)</f>
        <v>2</v>
      </c>
    </row>
    <row r="118" spans="1:29" ht="21" customHeight="1">
      <c r="A118" s="67" t="s">
        <v>14</v>
      </c>
      <c r="B118" s="67"/>
      <c r="C118" s="67"/>
      <c r="D118" s="554"/>
      <c r="E118" s="439"/>
      <c r="F118" s="439"/>
      <c r="G118" s="439"/>
      <c r="H118" s="439"/>
      <c r="I118" s="439"/>
      <c r="J118" s="131"/>
      <c r="K118" s="131"/>
      <c r="L118" s="131"/>
      <c r="M118" s="131"/>
      <c r="N118" s="131"/>
      <c r="O118" s="131"/>
      <c r="P118" s="130">
        <f>C112+C117</f>
        <v>734</v>
      </c>
      <c r="Q118" s="131"/>
      <c r="R118" s="131"/>
      <c r="S118" s="131"/>
      <c r="T118" s="131"/>
      <c r="U118" s="131"/>
      <c r="V118" s="131"/>
      <c r="W118" s="131"/>
      <c r="X118" s="131"/>
      <c r="Y118" s="321"/>
    </row>
    <row r="119" spans="1:29" ht="21" customHeight="1">
      <c r="A119" s="71" t="s">
        <v>158</v>
      </c>
      <c r="B119" s="71"/>
      <c r="C119" s="71"/>
      <c r="D119" s="553"/>
      <c r="E119" s="434"/>
      <c r="F119" s="434"/>
      <c r="G119" s="434"/>
      <c r="H119" s="434"/>
      <c r="I119" s="275">
        <f>SUM(B119:H119)</f>
        <v>0</v>
      </c>
      <c r="J119" s="131"/>
      <c r="K119" s="131"/>
      <c r="L119" s="131"/>
      <c r="M119" s="131"/>
      <c r="N119" s="131"/>
      <c r="O119" s="131"/>
      <c r="P119" s="130"/>
      <c r="Q119" s="131"/>
      <c r="R119" s="131"/>
      <c r="S119" s="131"/>
      <c r="T119" s="131"/>
      <c r="U119" s="131"/>
      <c r="V119" s="131"/>
      <c r="W119" s="131"/>
      <c r="X119" s="131"/>
    </row>
    <row r="120" spans="1:29" ht="21" customHeight="1">
      <c r="A120" s="69"/>
      <c r="B120" s="69"/>
      <c r="C120" s="69"/>
      <c r="D120" s="569"/>
      <c r="E120" s="497"/>
      <c r="F120" s="497"/>
      <c r="G120" s="497"/>
      <c r="H120" s="497"/>
      <c r="I120" s="497"/>
      <c r="J120" s="131"/>
      <c r="K120" s="131"/>
      <c r="L120" s="131"/>
      <c r="M120" s="131"/>
      <c r="N120" s="131"/>
      <c r="O120" s="131"/>
      <c r="P120" s="130"/>
      <c r="Q120" s="131"/>
      <c r="R120" s="131"/>
      <c r="S120" s="131"/>
      <c r="T120" s="131"/>
      <c r="U120" s="131"/>
      <c r="V120" s="131"/>
      <c r="W120" s="131"/>
      <c r="X120" s="131"/>
    </row>
    <row r="121" spans="1:29" ht="21" customHeight="1">
      <c r="A121" s="60" t="s">
        <v>6</v>
      </c>
      <c r="B121" s="49">
        <f t="shared" ref="B121:I121" si="58">SUM(B119:B120)</f>
        <v>0</v>
      </c>
      <c r="C121" s="49">
        <f t="shared" si="58"/>
        <v>0</v>
      </c>
      <c r="D121" s="49">
        <f t="shared" si="58"/>
        <v>0</v>
      </c>
      <c r="E121" s="49">
        <f t="shared" si="58"/>
        <v>0</v>
      </c>
      <c r="F121" s="49">
        <f t="shared" si="58"/>
        <v>0</v>
      </c>
      <c r="G121" s="49">
        <f t="shared" ref="G121" si="59">SUM(G119:G120)</f>
        <v>0</v>
      </c>
      <c r="H121" s="49">
        <f t="shared" si="58"/>
        <v>0</v>
      </c>
      <c r="I121" s="49">
        <f t="shared" si="58"/>
        <v>0</v>
      </c>
      <c r="J121" s="135"/>
      <c r="K121" s="135"/>
      <c r="L121" s="135"/>
      <c r="M121" s="135"/>
      <c r="N121" s="135"/>
      <c r="O121" s="135"/>
      <c r="P121" s="134"/>
      <c r="Q121" s="135"/>
      <c r="R121" s="135"/>
      <c r="S121" s="135"/>
      <c r="T121" s="135"/>
      <c r="U121" s="135"/>
      <c r="V121" s="135"/>
      <c r="W121" s="135"/>
      <c r="X121" s="135"/>
    </row>
    <row r="122" spans="1:29" ht="21" customHeight="1">
      <c r="A122" s="75" t="s">
        <v>159</v>
      </c>
      <c r="B122" s="511">
        <f t="shared" ref="B122:I122" si="60">SUM(B5,B30,B50,B74,B85,B99)</f>
        <v>3087</v>
      </c>
      <c r="C122" s="511">
        <f t="shared" si="60"/>
        <v>2503</v>
      </c>
      <c r="D122" s="511">
        <f t="shared" si="60"/>
        <v>2500</v>
      </c>
      <c r="E122" s="511">
        <f t="shared" si="60"/>
        <v>2237</v>
      </c>
      <c r="F122" s="511">
        <f t="shared" si="60"/>
        <v>746</v>
      </c>
      <c r="G122" s="511">
        <f t="shared" si="60"/>
        <v>4</v>
      </c>
      <c r="H122" s="511">
        <f t="shared" si="60"/>
        <v>0</v>
      </c>
      <c r="I122" s="511">
        <f t="shared" si="60"/>
        <v>11077</v>
      </c>
      <c r="J122" s="140"/>
      <c r="K122" s="140"/>
      <c r="L122" s="140"/>
      <c r="M122" s="140">
        <f>8241+2932+46</f>
        <v>11219</v>
      </c>
      <c r="N122" s="140"/>
      <c r="O122" s="140"/>
      <c r="P122" s="139"/>
      <c r="Q122" s="140"/>
      <c r="R122" s="140"/>
      <c r="S122" s="140"/>
      <c r="T122" s="140"/>
      <c r="U122" s="140"/>
      <c r="V122" s="140"/>
      <c r="W122" s="140"/>
      <c r="X122" s="140"/>
      <c r="AA122" s="301">
        <f>SUM(AA5:AA121)</f>
        <v>11395</v>
      </c>
    </row>
    <row r="123" spans="1:29" ht="21" hidden="1" customHeight="1">
      <c r="E123" s="106">
        <f>3685</f>
        <v>3685</v>
      </c>
      <c r="F123" s="106">
        <v>3141</v>
      </c>
      <c r="G123" s="106">
        <v>2290</v>
      </c>
      <c r="H123" s="106">
        <v>2290</v>
      </c>
    </row>
    <row r="124" spans="1:29" ht="21" hidden="1" customHeight="1">
      <c r="E124" s="106">
        <f>6+5</f>
        <v>11</v>
      </c>
      <c r="F124" s="106">
        <f>19+9+4</f>
        <v>32</v>
      </c>
      <c r="G124" s="106">
        <f>3+3+8</f>
        <v>14</v>
      </c>
      <c r="H124" s="106">
        <f>3+3+8</f>
        <v>14</v>
      </c>
    </row>
    <row r="125" spans="1:29" ht="21" hidden="1" customHeight="1">
      <c r="E125" s="106">
        <f>SUM(E123:E124)</f>
        <v>3696</v>
      </c>
      <c r="F125" s="106">
        <f>SUM(F123:F124)</f>
        <v>3173</v>
      </c>
      <c r="G125" s="106">
        <f>SUM(G123:G124)</f>
        <v>2304</v>
      </c>
      <c r="H125" s="106">
        <f>SUM(H123:H124)</f>
        <v>2304</v>
      </c>
      <c r="I125" s="106">
        <f>SUM(I123:I124)</f>
        <v>0</v>
      </c>
    </row>
    <row r="126" spans="1:29" ht="21" hidden="1" customHeight="1">
      <c r="E126" s="763" t="s">
        <v>36</v>
      </c>
      <c r="F126" s="763" t="s">
        <v>37</v>
      </c>
      <c r="G126" s="763" t="s">
        <v>160</v>
      </c>
      <c r="H126" s="763" t="s">
        <v>160</v>
      </c>
    </row>
    <row r="127" spans="1:29" ht="21" hidden="1" customHeight="1">
      <c r="A127" s="320" t="s">
        <v>24</v>
      </c>
      <c r="B127" s="320"/>
      <c r="C127" s="320"/>
      <c r="E127" s="106">
        <f>E122-(6+5)</f>
        <v>2226</v>
      </c>
    </row>
    <row r="128" spans="1:29" ht="21" hidden="1" customHeight="1">
      <c r="A128" s="320" t="s">
        <v>25</v>
      </c>
      <c r="B128" s="320"/>
      <c r="C128" s="320"/>
      <c r="E128" s="106">
        <f>E23+E49+E73</f>
        <v>0</v>
      </c>
      <c r="F128" s="106">
        <f>F23+F49+F73</f>
        <v>0</v>
      </c>
      <c r="G128" s="106">
        <f>G23+G49+G73</f>
        <v>2</v>
      </c>
      <c r="H128" s="106">
        <f>H23+H49+H73</f>
        <v>0</v>
      </c>
    </row>
    <row r="129" spans="1:17" ht="21" hidden="1" customHeight="1">
      <c r="A129" s="320" t="s">
        <v>44</v>
      </c>
      <c r="B129" s="320"/>
      <c r="C129" s="320"/>
      <c r="E129" s="106">
        <f>E29</f>
        <v>0</v>
      </c>
    </row>
    <row r="131" spans="1:17" s="106" customFormat="1" ht="21" customHeight="1">
      <c r="A131" s="853" t="s">
        <v>255</v>
      </c>
      <c r="B131" s="854"/>
      <c r="C131" s="854"/>
      <c r="D131" s="854"/>
      <c r="E131" s="580" t="s">
        <v>163</v>
      </c>
      <c r="F131" s="580" t="s">
        <v>164</v>
      </c>
      <c r="G131" s="580" t="s">
        <v>6</v>
      </c>
      <c r="H131" s="580" t="s">
        <v>6</v>
      </c>
      <c r="I131" s="589"/>
      <c r="P131" s="105"/>
    </row>
    <row r="132" spans="1:17" s="106" customFormat="1" ht="21" customHeight="1">
      <c r="A132" s="581" t="s">
        <v>165</v>
      </c>
      <c r="B132" s="582"/>
      <c r="C132" s="582"/>
      <c r="D132" s="583"/>
      <c r="E132" s="460">
        <f>I20</f>
        <v>2504</v>
      </c>
      <c r="F132" s="460"/>
      <c r="G132" s="460">
        <f t="shared" ref="G132:H136" si="61">SUM(D132:E132)</f>
        <v>2504</v>
      </c>
      <c r="H132" s="460">
        <f t="shared" si="61"/>
        <v>2504</v>
      </c>
      <c r="I132" s="590">
        <f>H132+H133+H134</f>
        <v>11042</v>
      </c>
      <c r="M132" s="106" t="e">
        <f>D122+E122+F122+H122+#REF!</f>
        <v>#REF!</v>
      </c>
      <c r="N132" s="106">
        <v>10890</v>
      </c>
      <c r="O132" s="106">
        <f>8694+2414</f>
        <v>11108</v>
      </c>
      <c r="P132" s="588"/>
    </row>
    <row r="133" spans="1:17" s="106" customFormat="1" ht="21" customHeight="1">
      <c r="A133" s="581" t="s">
        <v>166</v>
      </c>
      <c r="B133" s="582"/>
      <c r="C133" s="582"/>
      <c r="D133" s="583"/>
      <c r="E133" s="460">
        <f>I98+I112</f>
        <v>4996</v>
      </c>
      <c r="F133" s="460">
        <f>I42+I63+I74</f>
        <v>3477</v>
      </c>
      <c r="G133" s="460">
        <f t="shared" si="61"/>
        <v>4996</v>
      </c>
      <c r="H133" s="460">
        <f t="shared" si="61"/>
        <v>8473</v>
      </c>
      <c r="I133" s="591"/>
      <c r="M133" s="106">
        <f>H135+H136</f>
        <v>35</v>
      </c>
      <c r="N133" s="106">
        <f>I132-N132</f>
        <v>152</v>
      </c>
      <c r="P133" s="105"/>
    </row>
    <row r="134" spans="1:17" s="106" customFormat="1" ht="21" customHeight="1">
      <c r="A134" s="581" t="s">
        <v>167</v>
      </c>
      <c r="B134" s="582"/>
      <c r="C134" s="582"/>
      <c r="D134" s="583"/>
      <c r="E134" s="460">
        <f>I117</f>
        <v>0</v>
      </c>
      <c r="F134" s="460">
        <f>I69</f>
        <v>65</v>
      </c>
      <c r="G134" s="460">
        <f t="shared" si="61"/>
        <v>0</v>
      </c>
      <c r="H134" s="460">
        <f t="shared" si="61"/>
        <v>65</v>
      </c>
      <c r="I134" s="591"/>
      <c r="M134" s="106" t="e">
        <f>M132-M133</f>
        <v>#REF!</v>
      </c>
      <c r="N134" s="106">
        <v>11107</v>
      </c>
      <c r="P134" s="105"/>
    </row>
    <row r="135" spans="1:17" s="106" customFormat="1" ht="21" customHeight="1">
      <c r="A135" s="581" t="s">
        <v>168</v>
      </c>
      <c r="B135" s="582"/>
      <c r="C135" s="582"/>
      <c r="D135" s="583"/>
      <c r="E135" s="584">
        <f>I121</f>
        <v>0</v>
      </c>
      <c r="F135" s="584">
        <f>I46+I73</f>
        <v>12</v>
      </c>
      <c r="G135" s="584">
        <f t="shared" si="61"/>
        <v>0</v>
      </c>
      <c r="H135" s="584">
        <f t="shared" si="61"/>
        <v>12</v>
      </c>
      <c r="I135" s="592">
        <f>H135</f>
        <v>12</v>
      </c>
      <c r="N135" s="106">
        <v>10890</v>
      </c>
      <c r="P135" s="105"/>
    </row>
    <row r="136" spans="1:17" s="106" customFormat="1" ht="21" customHeight="1">
      <c r="A136" s="581" t="s">
        <v>169</v>
      </c>
      <c r="B136" s="582"/>
      <c r="C136" s="582"/>
      <c r="D136" s="583"/>
      <c r="E136" s="584">
        <f>I29</f>
        <v>15</v>
      </c>
      <c r="F136" s="584">
        <f>I49</f>
        <v>8</v>
      </c>
      <c r="G136" s="584">
        <f t="shared" si="61"/>
        <v>15</v>
      </c>
      <c r="H136" s="584">
        <f t="shared" si="61"/>
        <v>23</v>
      </c>
      <c r="I136" s="592">
        <f>H136</f>
        <v>23</v>
      </c>
      <c r="P136" s="105"/>
    </row>
    <row r="137" spans="1:17" s="106" customFormat="1" ht="21" customHeight="1">
      <c r="A137" s="585"/>
      <c r="B137" s="586"/>
      <c r="C137" s="586"/>
      <c r="D137" s="587"/>
      <c r="E137" s="85">
        <f>SUM(E132:E136)</f>
        <v>7515</v>
      </c>
      <c r="F137" s="85">
        <f>SUM(F132:F136)</f>
        <v>3562</v>
      </c>
      <c r="G137" s="85"/>
      <c r="H137" s="855">
        <f>E137+F137</f>
        <v>11077</v>
      </c>
      <c r="I137" s="855"/>
      <c r="M137" s="106">
        <f>8241</f>
        <v>8241</v>
      </c>
      <c r="P137" s="105"/>
    </row>
    <row r="138" spans="1:17" s="106" customFormat="1" ht="21" customHeight="1">
      <c r="A138" s="47"/>
      <c r="B138" s="47"/>
      <c r="C138" s="47"/>
      <c r="D138" s="320"/>
      <c r="M138" s="106">
        <v>2932</v>
      </c>
      <c r="P138" s="105"/>
    </row>
    <row r="139" spans="1:17" s="106" customFormat="1" ht="21" customHeight="1">
      <c r="A139" s="47"/>
      <c r="B139" s="47"/>
      <c r="C139" s="47"/>
      <c r="D139" s="320"/>
      <c r="M139" s="106">
        <v>46</v>
      </c>
      <c r="P139" s="105"/>
      <c r="Q139" s="106">
        <f>18+35</f>
        <v>53</v>
      </c>
    </row>
    <row r="140" spans="1:17" s="106" customFormat="1" ht="21" customHeight="1">
      <c r="A140" s="47"/>
      <c r="B140" s="47"/>
      <c r="C140" s="47"/>
      <c r="D140" s="320"/>
      <c r="E140" s="588">
        <f>9289+2777</f>
        <v>12066</v>
      </c>
      <c r="M140" s="106">
        <f>SUM(M137:M139)</f>
        <v>11219</v>
      </c>
      <c r="P140" s="105"/>
    </row>
    <row r="141" spans="1:17" s="106" customFormat="1" ht="21" customHeight="1">
      <c r="A141" s="47"/>
      <c r="B141" s="47"/>
      <c r="C141" s="47"/>
      <c r="D141" s="320"/>
      <c r="M141" s="106">
        <f>M140-I122</f>
        <v>142</v>
      </c>
      <c r="P141" s="105"/>
    </row>
  </sheetData>
  <mergeCells count="17">
    <mergeCell ref="A131:D131"/>
    <mergeCell ref="H137:I137"/>
    <mergeCell ref="A3:A4"/>
    <mergeCell ref="P4:P5"/>
    <mergeCell ref="P17:P18"/>
    <mergeCell ref="Q15:S15"/>
    <mergeCell ref="P16:V16"/>
    <mergeCell ref="Q17:U17"/>
    <mergeCell ref="Q32:S32"/>
    <mergeCell ref="Q33:S33"/>
    <mergeCell ref="V17:V18"/>
    <mergeCell ref="A1:I1"/>
    <mergeCell ref="A2:I2"/>
    <mergeCell ref="P2:V2"/>
    <mergeCell ref="P3:V3"/>
    <mergeCell ref="Q4:U4"/>
    <mergeCell ref="V4:V5"/>
  </mergeCells>
  <printOptions horizontalCentered="1"/>
  <pageMargins left="0.47244094488188998" right="0.59055118110236204" top="0.66929133858267698" bottom="0.43307086614173201" header="0.78740157480314998" footer="0.196850393700787"/>
  <pageSetup paperSize="9" scale="95" orientation="portrait"/>
  <headerFooter alignWithMargins="0">
    <oddFooter>&amp;L&amp;P&amp;R&amp;F</oddFooter>
  </headerFooter>
  <rowBreaks count="1" manualBreakCount="1">
    <brk id="42" max="18" man="1"/>
  </rowBreaks>
  <ignoredErrors>
    <ignoredError sqref="C5:F5 H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tabSelected="1" view="pageBreakPreview" zoomScale="112" zoomScaleNormal="120" workbookViewId="0">
      <pane ySplit="4" topLeftCell="A5" activePane="bottomLeft" state="frozen"/>
      <selection pane="bottomLeft" activeCell="AA13" sqref="AA13"/>
    </sheetView>
  </sheetViews>
  <sheetFormatPr defaultColWidth="9.140625" defaultRowHeight="21" customHeight="1"/>
  <cols>
    <col min="1" max="1" width="47.5703125" style="395" customWidth="1"/>
    <col min="2" max="2" width="14" style="396" customWidth="1"/>
    <col min="3" max="7" width="8.7109375" style="106" customWidth="1"/>
    <col min="8" max="8" width="10.85546875" style="106" hidden="1" customWidth="1"/>
    <col min="9" max="9" width="28.140625" style="105" hidden="1" customWidth="1"/>
    <col min="10" max="17" width="10.85546875" style="106" hidden="1" customWidth="1"/>
    <col min="18" max="24" width="9" style="47" hidden="1" customWidth="1"/>
    <col min="25" max="16384" width="9.140625" style="47"/>
  </cols>
  <sheetData>
    <row r="1" spans="1:25" ht="21" customHeight="1">
      <c r="A1" s="792" t="s">
        <v>429</v>
      </c>
      <c r="B1" s="792"/>
      <c r="C1" s="792"/>
      <c r="D1" s="792"/>
      <c r="E1" s="792"/>
      <c r="F1" s="792"/>
      <c r="G1" s="792"/>
      <c r="H1" s="108"/>
      <c r="I1" s="107"/>
      <c r="J1" s="108"/>
      <c r="K1" s="108"/>
      <c r="L1" s="108"/>
      <c r="M1" s="108"/>
      <c r="N1" s="108"/>
      <c r="O1" s="108"/>
      <c r="P1" s="108"/>
      <c r="Q1" s="108"/>
    </row>
    <row r="2" spans="1:25" ht="21" customHeight="1">
      <c r="A2" s="397"/>
      <c r="B2" s="398"/>
      <c r="C2" s="154"/>
      <c r="D2" s="154"/>
      <c r="E2" s="154"/>
      <c r="F2" s="154"/>
      <c r="G2" s="154"/>
      <c r="H2" s="154"/>
      <c r="I2" s="858" t="s">
        <v>239</v>
      </c>
      <c r="J2" s="858"/>
      <c r="K2" s="858"/>
      <c r="L2" s="858"/>
      <c r="M2" s="858"/>
      <c r="N2" s="858"/>
      <c r="O2" s="858"/>
      <c r="P2" s="154"/>
      <c r="Q2" s="154"/>
    </row>
    <row r="3" spans="1:25" ht="21" customHeight="1">
      <c r="A3" s="862" t="s">
        <v>31</v>
      </c>
      <c r="B3" s="399" t="s">
        <v>256</v>
      </c>
      <c r="C3" s="859" t="s">
        <v>32</v>
      </c>
      <c r="D3" s="859"/>
      <c r="E3" s="859"/>
      <c r="F3" s="859"/>
      <c r="G3" s="859"/>
      <c r="H3" s="108"/>
      <c r="I3" s="860" t="s">
        <v>242</v>
      </c>
      <c r="J3" s="860"/>
      <c r="K3" s="860"/>
      <c r="L3" s="860"/>
      <c r="M3" s="860"/>
      <c r="N3" s="860"/>
      <c r="O3" s="860"/>
      <c r="P3" s="108"/>
      <c r="Q3" s="108"/>
    </row>
    <row r="4" spans="1:25" ht="21" customHeight="1">
      <c r="A4" s="863"/>
      <c r="B4" s="772" t="s">
        <v>257</v>
      </c>
      <c r="C4" s="773" t="s">
        <v>258</v>
      </c>
      <c r="D4" s="773" t="s">
        <v>259</v>
      </c>
      <c r="E4" s="773" t="s">
        <v>260</v>
      </c>
      <c r="F4" s="773" t="s">
        <v>261</v>
      </c>
      <c r="G4" s="773" t="s">
        <v>428</v>
      </c>
      <c r="H4" s="400"/>
      <c r="I4" s="864" t="s">
        <v>38</v>
      </c>
      <c r="J4" s="861" t="s">
        <v>39</v>
      </c>
      <c r="K4" s="861"/>
      <c r="L4" s="861"/>
      <c r="M4" s="861"/>
      <c r="N4" s="861"/>
      <c r="O4" s="866" t="s">
        <v>6</v>
      </c>
      <c r="P4" s="400"/>
      <c r="Q4" s="400"/>
    </row>
    <row r="5" spans="1:25" ht="21" customHeight="1">
      <c r="A5" s="401" t="s">
        <v>40</v>
      </c>
      <c r="B5" s="402">
        <f>SUM(B24,B27,B33)</f>
        <v>2504</v>
      </c>
      <c r="C5" s="110">
        <f>SUM(C24,C27,C33)</f>
        <v>820</v>
      </c>
      <c r="D5" s="110">
        <f t="shared" ref="D5:G5" ca="1" si="0">SUM(D24,D27,D33)</f>
        <v>700</v>
      </c>
      <c r="E5" s="110">
        <f t="shared" si="0"/>
        <v>820</v>
      </c>
      <c r="F5" s="110">
        <f t="shared" si="0"/>
        <v>820</v>
      </c>
      <c r="G5" s="110">
        <f t="shared" si="0"/>
        <v>820</v>
      </c>
      <c r="H5" s="403"/>
      <c r="I5" s="865"/>
      <c r="J5" s="460" t="s">
        <v>41</v>
      </c>
      <c r="K5" s="459" t="s">
        <v>42</v>
      </c>
      <c r="L5" s="459" t="s">
        <v>43</v>
      </c>
      <c r="M5" s="459" t="s">
        <v>25</v>
      </c>
      <c r="N5" s="459" t="s">
        <v>44</v>
      </c>
      <c r="O5" s="867"/>
      <c r="P5" s="403"/>
      <c r="Q5" s="403"/>
      <c r="T5" s="301" t="e">
        <f>#REF!</f>
        <v>#REF!</v>
      </c>
      <c r="Y5" s="45" t="s">
        <v>262</v>
      </c>
    </row>
    <row r="6" spans="1:25" ht="21" customHeight="1">
      <c r="A6" s="404" t="s">
        <v>45</v>
      </c>
      <c r="B6" s="405">
        <v>174</v>
      </c>
      <c r="C6" s="283">
        <v>30</v>
      </c>
      <c r="D6" s="283">
        <v>30</v>
      </c>
      <c r="E6" s="283">
        <v>30</v>
      </c>
      <c r="F6" s="283">
        <v>30</v>
      </c>
      <c r="G6" s="283">
        <v>30</v>
      </c>
      <c r="H6" s="88" t="e">
        <f>#REF!+#REF!+#REF!+#REF!+#REF!</f>
        <v>#REF!</v>
      </c>
      <c r="I6" s="461" t="s">
        <v>46</v>
      </c>
      <c r="J6" s="462"/>
      <c r="K6" s="462"/>
      <c r="L6" s="462" t="e">
        <f>#REF!</f>
        <v>#REF!</v>
      </c>
      <c r="M6" s="462"/>
      <c r="N6" s="462" t="e">
        <f>#REF!</f>
        <v>#REF!</v>
      </c>
      <c r="O6" s="462" t="e">
        <f t="shared" ref="O6:O14" si="1">SUM(J6:N6)</f>
        <v>#REF!</v>
      </c>
      <c r="P6" s="88"/>
      <c r="Q6" s="88"/>
      <c r="R6" s="306">
        <v>58</v>
      </c>
      <c r="S6" s="301">
        <v>122</v>
      </c>
      <c r="T6" s="301">
        <v>117</v>
      </c>
      <c r="U6" s="301">
        <v>114</v>
      </c>
      <c r="V6" s="301">
        <v>84</v>
      </c>
    </row>
    <row r="7" spans="1:25" ht="21" customHeight="1">
      <c r="A7" s="406" t="s">
        <v>263</v>
      </c>
      <c r="B7" s="407">
        <v>238</v>
      </c>
      <c r="C7" s="275">
        <v>60</v>
      </c>
      <c r="D7" s="275">
        <v>60</v>
      </c>
      <c r="E7" s="275">
        <v>60</v>
      </c>
      <c r="F7" s="275">
        <v>60</v>
      </c>
      <c r="G7" s="275">
        <v>60</v>
      </c>
      <c r="H7" s="88" t="e">
        <f>#REF!+#REF!+#REF!+#REF!+#REF!</f>
        <v>#REF!</v>
      </c>
      <c r="I7" s="461" t="s">
        <v>48</v>
      </c>
      <c r="J7" s="462"/>
      <c r="K7" s="462" t="e">
        <f>#REF!</f>
        <v>#REF!</v>
      </c>
      <c r="L7" s="462"/>
      <c r="M7" s="462"/>
      <c r="N7" s="462"/>
      <c r="O7" s="462" t="e">
        <f t="shared" si="1"/>
        <v>#REF!</v>
      </c>
      <c r="P7" s="88"/>
      <c r="Q7" s="88"/>
      <c r="R7" s="306">
        <v>57</v>
      </c>
      <c r="S7" s="301">
        <v>128</v>
      </c>
      <c r="T7" s="301">
        <v>101</v>
      </c>
      <c r="U7" s="301">
        <v>51</v>
      </c>
      <c r="V7" s="301">
        <v>30</v>
      </c>
    </row>
    <row r="8" spans="1:25" ht="21" customHeight="1">
      <c r="A8" s="406" t="s">
        <v>49</v>
      </c>
      <c r="B8" s="407">
        <v>229</v>
      </c>
      <c r="C8" s="275">
        <v>60</v>
      </c>
      <c r="D8" s="275">
        <v>60</v>
      </c>
      <c r="E8" s="275">
        <v>60</v>
      </c>
      <c r="F8" s="275">
        <v>60</v>
      </c>
      <c r="G8" s="275">
        <v>60</v>
      </c>
      <c r="H8" s="88" t="e">
        <f>#REF!+#REF!+#REF!+#REF!+#REF!</f>
        <v>#REF!</v>
      </c>
      <c r="I8" s="461" t="s">
        <v>50</v>
      </c>
      <c r="J8" s="462" t="e">
        <f>#REF!</f>
        <v>#REF!</v>
      </c>
      <c r="K8" s="462" t="e">
        <f>#REF!</f>
        <v>#REF!</v>
      </c>
      <c r="L8" s="462"/>
      <c r="M8" s="462" t="e">
        <f>#REF!</f>
        <v>#REF!</v>
      </c>
      <c r="N8" s="462"/>
      <c r="O8" s="462" t="e">
        <f t="shared" si="1"/>
        <v>#REF!</v>
      </c>
      <c r="P8" s="88"/>
      <c r="Q8" s="88"/>
      <c r="R8" s="306">
        <v>58</v>
      </c>
      <c r="S8" s="301">
        <v>116</v>
      </c>
      <c r="T8" s="301">
        <v>111</v>
      </c>
      <c r="U8" s="301">
        <v>99</v>
      </c>
      <c r="V8" s="301">
        <v>41</v>
      </c>
    </row>
    <row r="9" spans="1:25" ht="21" customHeight="1">
      <c r="A9" s="406" t="s">
        <v>51</v>
      </c>
      <c r="B9" s="407">
        <v>225</v>
      </c>
      <c r="C9" s="275">
        <v>60</v>
      </c>
      <c r="D9" s="275">
        <v>60</v>
      </c>
      <c r="E9" s="275">
        <v>60</v>
      </c>
      <c r="F9" s="275">
        <v>60</v>
      </c>
      <c r="G9" s="275">
        <v>60</v>
      </c>
      <c r="H9" s="88" t="e">
        <f>#REF!+#REF!+#REF!+#REF!+#REF!</f>
        <v>#REF!</v>
      </c>
      <c r="I9" s="149" t="s">
        <v>6</v>
      </c>
      <c r="J9" s="149" t="e">
        <f>SUM(J6:J8)</f>
        <v>#REF!</v>
      </c>
      <c r="K9" s="149" t="e">
        <f>SUM(K6:K8)</f>
        <v>#REF!</v>
      </c>
      <c r="L9" s="149" t="e">
        <f>SUM(L6:L8)</f>
        <v>#REF!</v>
      </c>
      <c r="M9" s="149" t="e">
        <f>SUM(M6:M8)</f>
        <v>#REF!</v>
      </c>
      <c r="N9" s="149" t="e">
        <f>SUM(N6:N8)</f>
        <v>#REF!</v>
      </c>
      <c r="O9" s="149" t="e">
        <f t="shared" si="1"/>
        <v>#REF!</v>
      </c>
      <c r="P9" s="88" t="e">
        <f>J9+K9+L9</f>
        <v>#REF!</v>
      </c>
      <c r="Q9" s="88"/>
      <c r="R9" s="306">
        <v>52</v>
      </c>
      <c r="S9" s="301">
        <v>123</v>
      </c>
      <c r="T9" s="301">
        <v>94</v>
      </c>
      <c r="U9" s="301">
        <v>98</v>
      </c>
      <c r="V9" s="301">
        <v>82</v>
      </c>
    </row>
    <row r="10" spans="1:25" ht="21" customHeight="1">
      <c r="A10" s="406" t="s">
        <v>52</v>
      </c>
      <c r="B10" s="407">
        <v>227</v>
      </c>
      <c r="C10" s="275">
        <v>60</v>
      </c>
      <c r="D10" s="275">
        <v>60</v>
      </c>
      <c r="E10" s="275">
        <v>60</v>
      </c>
      <c r="F10" s="275">
        <v>60</v>
      </c>
      <c r="G10" s="275">
        <v>60</v>
      </c>
      <c r="H10" s="88" t="e">
        <f>#REF!+#REF!+#REF!+#REF!+#REF!</f>
        <v>#REF!</v>
      </c>
      <c r="I10" s="461" t="s">
        <v>53</v>
      </c>
      <c r="J10" s="462"/>
      <c r="K10" s="462" t="e">
        <f>#REF!</f>
        <v>#REF!</v>
      </c>
      <c r="L10" s="462"/>
      <c r="M10" s="462" t="e">
        <f>#REF!</f>
        <v>#REF!</v>
      </c>
      <c r="N10" s="462" t="e">
        <f>#REF!</f>
        <v>#REF!</v>
      </c>
      <c r="O10" s="462" t="e">
        <f t="shared" si="1"/>
        <v>#REF!</v>
      </c>
      <c r="P10" s="88"/>
      <c r="Q10" s="88"/>
      <c r="R10" s="306">
        <v>59</v>
      </c>
      <c r="S10" s="301">
        <v>120</v>
      </c>
      <c r="T10" s="301">
        <v>116</v>
      </c>
      <c r="U10" s="301">
        <v>88</v>
      </c>
      <c r="V10" s="301">
        <v>34</v>
      </c>
    </row>
    <row r="11" spans="1:25" ht="21" customHeight="1">
      <c r="A11" s="406" t="s">
        <v>54</v>
      </c>
      <c r="B11" s="407">
        <v>224</v>
      </c>
      <c r="C11" s="275">
        <v>60</v>
      </c>
      <c r="D11" s="275">
        <v>60</v>
      </c>
      <c r="E11" s="275">
        <v>60</v>
      </c>
      <c r="F11" s="275">
        <v>60</v>
      </c>
      <c r="G11" s="275">
        <v>60</v>
      </c>
      <c r="H11" s="88" t="e">
        <f>#REF!+#REF!+#REF!+#REF!+#REF!</f>
        <v>#REF!</v>
      </c>
      <c r="I11" s="461" t="s">
        <v>55</v>
      </c>
      <c r="J11" s="462"/>
      <c r="K11" s="462" t="e">
        <f>#REF!</f>
        <v>#REF!</v>
      </c>
      <c r="L11" s="462"/>
      <c r="M11" s="462"/>
      <c r="N11" s="462"/>
      <c r="O11" s="462" t="e">
        <f t="shared" si="1"/>
        <v>#REF!</v>
      </c>
      <c r="P11" s="88"/>
      <c r="Q11" s="88"/>
      <c r="R11" s="306">
        <v>51</v>
      </c>
      <c r="S11" s="301">
        <v>116</v>
      </c>
      <c r="T11" s="301">
        <v>102</v>
      </c>
      <c r="U11" s="301">
        <v>65</v>
      </c>
      <c r="V11" s="301">
        <v>54</v>
      </c>
    </row>
    <row r="12" spans="1:25" ht="21" customHeight="1">
      <c r="A12" s="406" t="s">
        <v>56</v>
      </c>
      <c r="B12" s="407">
        <v>154</v>
      </c>
      <c r="C12" s="275">
        <v>60</v>
      </c>
      <c r="D12" s="275">
        <v>60</v>
      </c>
      <c r="E12" s="275">
        <v>60</v>
      </c>
      <c r="F12" s="275">
        <v>60</v>
      </c>
      <c r="G12" s="275">
        <v>60</v>
      </c>
      <c r="H12" s="88" t="e">
        <f>#REF!+#REF!+#REF!+#REF!+#REF!</f>
        <v>#REF!</v>
      </c>
      <c r="I12" s="461" t="s">
        <v>57</v>
      </c>
      <c r="J12" s="462" t="e">
        <f>#REF!</f>
        <v>#REF!</v>
      </c>
      <c r="K12" s="462" t="e">
        <f>#REF!</f>
        <v>#REF!</v>
      </c>
      <c r="L12" s="462"/>
      <c r="M12" s="462" t="e">
        <f>#REF!</f>
        <v>#REF!</v>
      </c>
      <c r="N12" s="462"/>
      <c r="O12" s="462" t="e">
        <f t="shared" si="1"/>
        <v>#REF!</v>
      </c>
      <c r="P12" s="88"/>
      <c r="Q12" s="88"/>
      <c r="R12" s="306">
        <v>57</v>
      </c>
      <c r="S12" s="301">
        <v>43</v>
      </c>
      <c r="T12" s="301"/>
      <c r="U12" s="301">
        <v>18</v>
      </c>
      <c r="V12" s="301">
        <v>1</v>
      </c>
    </row>
    <row r="13" spans="1:25" ht="21" customHeight="1">
      <c r="A13" s="406" t="s">
        <v>17</v>
      </c>
      <c r="B13" s="407">
        <v>205</v>
      </c>
      <c r="C13" s="275">
        <v>60</v>
      </c>
      <c r="D13" s="275">
        <v>60</v>
      </c>
      <c r="E13" s="275">
        <v>60</v>
      </c>
      <c r="F13" s="275">
        <v>60</v>
      </c>
      <c r="G13" s="275">
        <v>60</v>
      </c>
      <c r="H13" s="88" t="e">
        <f>#REF!+#REF!+#REF!+#REF!+#REF!</f>
        <v>#REF!</v>
      </c>
      <c r="I13" s="148" t="s">
        <v>6</v>
      </c>
      <c r="J13" s="149" t="e">
        <f>SUM(J10:J12)</f>
        <v>#REF!</v>
      </c>
      <c r="K13" s="149" t="e">
        <f>SUM(K10:K12)</f>
        <v>#REF!</v>
      </c>
      <c r="L13" s="149">
        <f>SUM(L10:L12)</f>
        <v>0</v>
      </c>
      <c r="M13" s="149" t="e">
        <f>SUM(M10:M12)</f>
        <v>#REF!</v>
      </c>
      <c r="N13" s="149" t="e">
        <f>SUM(N10:N12)</f>
        <v>#REF!</v>
      </c>
      <c r="O13" s="462" t="e">
        <f t="shared" si="1"/>
        <v>#REF!</v>
      </c>
      <c r="P13" s="88" t="e">
        <f>J13+K13</f>
        <v>#REF!</v>
      </c>
      <c r="Q13" s="88"/>
      <c r="R13" s="306">
        <v>54</v>
      </c>
      <c r="S13" s="301">
        <v>105</v>
      </c>
      <c r="T13" s="301">
        <v>108</v>
      </c>
      <c r="U13" s="301">
        <v>100</v>
      </c>
      <c r="V13" s="301">
        <v>64</v>
      </c>
    </row>
    <row r="14" spans="1:25" ht="21" customHeight="1">
      <c r="A14" s="406" t="s">
        <v>58</v>
      </c>
      <c r="B14" s="407">
        <v>163</v>
      </c>
      <c r="C14" s="275">
        <v>60</v>
      </c>
      <c r="D14" s="275">
        <v>60</v>
      </c>
      <c r="E14" s="275">
        <v>60</v>
      </c>
      <c r="F14" s="275">
        <v>60</v>
      </c>
      <c r="G14" s="275">
        <v>60</v>
      </c>
      <c r="H14" s="88" t="e">
        <f>#REF!+#REF!+#REF!+#REF!+#REF!</f>
        <v>#REF!</v>
      </c>
      <c r="I14" s="148" t="s">
        <v>21</v>
      </c>
      <c r="J14" s="149" t="e">
        <f>SUM(J9,J13)</f>
        <v>#REF!</v>
      </c>
      <c r="K14" s="149" t="e">
        <f>SUM(K9,K13)</f>
        <v>#REF!</v>
      </c>
      <c r="L14" s="149" t="e">
        <f>SUM(L9,L13)</f>
        <v>#REF!</v>
      </c>
      <c r="M14" s="149" t="e">
        <f>SUM(M9,M13)</f>
        <v>#REF!</v>
      </c>
      <c r="N14" s="149" t="e">
        <f>SUM(N9,N13)</f>
        <v>#REF!</v>
      </c>
      <c r="O14" s="149" t="e">
        <f t="shared" si="1"/>
        <v>#REF!</v>
      </c>
      <c r="P14" s="88"/>
      <c r="Q14" s="88"/>
      <c r="R14" s="306">
        <v>45</v>
      </c>
      <c r="S14" s="301">
        <v>58</v>
      </c>
      <c r="T14" s="301">
        <v>110</v>
      </c>
      <c r="U14" s="301"/>
      <c r="V14" s="301"/>
    </row>
    <row r="15" spans="1:25" ht="21" customHeight="1">
      <c r="A15" s="406" t="s">
        <v>264</v>
      </c>
      <c r="B15" s="407">
        <v>173</v>
      </c>
      <c r="C15" s="275">
        <v>60</v>
      </c>
      <c r="D15" s="275">
        <v>60</v>
      </c>
      <c r="E15" s="275">
        <v>60</v>
      </c>
      <c r="F15" s="275">
        <v>60</v>
      </c>
      <c r="G15" s="275">
        <v>60</v>
      </c>
      <c r="H15" s="88" t="e">
        <f>#REF!+#REF!+#REF!+#REF!+#REF!</f>
        <v>#REF!</v>
      </c>
      <c r="I15" s="463"/>
      <c r="J15" s="868" t="e">
        <f>J14+K14+L14</f>
        <v>#REF!</v>
      </c>
      <c r="K15" s="869"/>
      <c r="L15" s="870"/>
      <c r="M15" s="464"/>
      <c r="N15" s="464"/>
      <c r="O15" s="464"/>
      <c r="P15" s="88" t="e">
        <f>J14+K14+L14</f>
        <v>#REF!</v>
      </c>
      <c r="Q15" s="88"/>
      <c r="R15" s="306">
        <v>48</v>
      </c>
      <c r="S15" s="301">
        <v>99</v>
      </c>
      <c r="T15" s="301"/>
      <c r="U15" s="301"/>
      <c r="V15" s="301"/>
    </row>
    <row r="16" spans="1:25" ht="21" customHeight="1">
      <c r="A16" s="406" t="s">
        <v>60</v>
      </c>
      <c r="B16" s="407">
        <v>113</v>
      </c>
      <c r="C16" s="275">
        <v>30</v>
      </c>
      <c r="D16" s="275">
        <v>30</v>
      </c>
      <c r="E16" s="275">
        <v>30</v>
      </c>
      <c r="F16" s="275">
        <v>30</v>
      </c>
      <c r="G16" s="275">
        <v>30</v>
      </c>
      <c r="H16" s="88" t="e">
        <f>#REF!+#REF!+#REF!+#REF!+#REF!</f>
        <v>#REF!</v>
      </c>
      <c r="I16" s="813" t="s">
        <v>243</v>
      </c>
      <c r="J16" s="845"/>
      <c r="K16" s="845"/>
      <c r="L16" s="845"/>
      <c r="M16" s="845"/>
      <c r="N16" s="845"/>
      <c r="O16" s="846"/>
      <c r="P16" s="88"/>
      <c r="Q16" s="88"/>
      <c r="R16" s="306"/>
      <c r="S16" s="301">
        <v>50</v>
      </c>
      <c r="T16" s="301"/>
      <c r="U16" s="301"/>
      <c r="V16" s="301"/>
    </row>
    <row r="17" spans="1:26" ht="21" customHeight="1">
      <c r="A17" s="406" t="s">
        <v>62</v>
      </c>
      <c r="B17" s="407">
        <v>123</v>
      </c>
      <c r="C17" s="275">
        <v>30</v>
      </c>
      <c r="D17" s="275">
        <v>30</v>
      </c>
      <c r="E17" s="275">
        <v>30</v>
      </c>
      <c r="F17" s="275">
        <v>30</v>
      </c>
      <c r="G17" s="275">
        <v>30</v>
      </c>
      <c r="H17" s="88" t="e">
        <f>#REF!+#REF!+#REF!+#REF!+#REF!</f>
        <v>#REF!</v>
      </c>
      <c r="I17" s="805" t="s">
        <v>38</v>
      </c>
      <c r="J17" s="798" t="s">
        <v>39</v>
      </c>
      <c r="K17" s="798"/>
      <c r="L17" s="798"/>
      <c r="M17" s="798"/>
      <c r="N17" s="798"/>
      <c r="O17" s="807" t="s">
        <v>6</v>
      </c>
      <c r="P17" s="88"/>
      <c r="Q17" s="88"/>
      <c r="R17" s="306"/>
      <c r="S17" s="301">
        <v>47</v>
      </c>
      <c r="T17" s="301"/>
      <c r="U17" s="301"/>
      <c r="V17" s="301"/>
    </row>
    <row r="18" spans="1:26" ht="21" customHeight="1">
      <c r="A18" s="406" t="s">
        <v>63</v>
      </c>
      <c r="B18" s="407">
        <v>82</v>
      </c>
      <c r="C18" s="275">
        <v>30</v>
      </c>
      <c r="D18" s="275">
        <v>30</v>
      </c>
      <c r="E18" s="275">
        <v>30</v>
      </c>
      <c r="F18" s="275">
        <v>30</v>
      </c>
      <c r="G18" s="275">
        <v>30</v>
      </c>
      <c r="H18" s="88" t="e">
        <f>#REF!+#REF!+#REF!+#REF!+#REF!</f>
        <v>#REF!</v>
      </c>
      <c r="I18" s="872"/>
      <c r="J18" s="113" t="s">
        <v>41</v>
      </c>
      <c r="K18" s="110" t="s">
        <v>42</v>
      </c>
      <c r="L18" s="110" t="s">
        <v>43</v>
      </c>
      <c r="M18" s="110" t="s">
        <v>25</v>
      </c>
      <c r="N18" s="110" t="s">
        <v>44</v>
      </c>
      <c r="O18" s="808"/>
      <c r="P18" s="88"/>
      <c r="Q18" s="88"/>
      <c r="R18" s="306">
        <v>39</v>
      </c>
      <c r="S18" s="301">
        <v>88</v>
      </c>
      <c r="T18" s="301"/>
      <c r="U18" s="301"/>
      <c r="V18" s="301"/>
    </row>
    <row r="19" spans="1:26" ht="21" customHeight="1">
      <c r="A19" s="406" t="s">
        <v>64</v>
      </c>
      <c r="B19" s="407">
        <v>138</v>
      </c>
      <c r="C19" s="275">
        <v>30</v>
      </c>
      <c r="D19" s="275">
        <v>30</v>
      </c>
      <c r="E19" s="275">
        <v>30</v>
      </c>
      <c r="F19" s="275">
        <v>30</v>
      </c>
      <c r="G19" s="275">
        <v>30</v>
      </c>
      <c r="H19" s="88" t="e">
        <f>#REF!+#REF!+#REF!+#REF!+#REF!</f>
        <v>#REF!</v>
      </c>
      <c r="I19" s="126" t="s">
        <v>46</v>
      </c>
      <c r="J19" s="127"/>
      <c r="K19" s="127"/>
      <c r="L19" s="127" t="e">
        <f>#REF!</f>
        <v>#REF!</v>
      </c>
      <c r="M19" s="127"/>
      <c r="N19" s="127" t="e">
        <f>#REF!</f>
        <v>#REF!</v>
      </c>
      <c r="O19" s="127" t="e">
        <f t="shared" ref="O19" si="2">SUM(J19:N19)</f>
        <v>#REF!</v>
      </c>
      <c r="P19" s="88"/>
      <c r="Q19" s="88"/>
      <c r="R19" s="306">
        <v>34</v>
      </c>
      <c r="S19" s="301"/>
      <c r="T19" s="301"/>
      <c r="U19" s="301"/>
      <c r="V19" s="301"/>
    </row>
    <row r="20" spans="1:26" ht="21" customHeight="1">
      <c r="A20" s="406" t="s">
        <v>265</v>
      </c>
      <c r="B20" s="407">
        <v>0</v>
      </c>
      <c r="C20" s="275">
        <v>30</v>
      </c>
      <c r="D20" s="275">
        <v>30</v>
      </c>
      <c r="E20" s="275">
        <v>30</v>
      </c>
      <c r="F20" s="275">
        <v>30</v>
      </c>
      <c r="G20" s="275">
        <v>30</v>
      </c>
      <c r="H20" s="88" t="e">
        <f>#REF!+#REF!+#REF!+#REF!+#REF!</f>
        <v>#REF!</v>
      </c>
      <c r="I20" s="126" t="s">
        <v>46</v>
      </c>
      <c r="J20" s="127"/>
      <c r="K20" s="127"/>
      <c r="L20" s="127" t="e">
        <f>#REF!</f>
        <v>#REF!</v>
      </c>
      <c r="M20" s="127"/>
      <c r="N20" s="127" t="e">
        <f>#REF!</f>
        <v>#REF!</v>
      </c>
      <c r="O20" s="127" t="e">
        <f t="shared" ref="O20" si="3">SUM(J20:N20)</f>
        <v>#REF!</v>
      </c>
      <c r="P20" s="88"/>
      <c r="Q20" s="88"/>
      <c r="R20" s="306">
        <v>34</v>
      </c>
      <c r="S20" s="301"/>
      <c r="T20" s="301"/>
      <c r="U20" s="301"/>
      <c r="V20" s="301"/>
    </row>
    <row r="21" spans="1:26" s="46" customFormat="1" ht="21" customHeight="1">
      <c r="A21" s="406" t="s">
        <v>266</v>
      </c>
      <c r="B21" s="407">
        <v>0</v>
      </c>
      <c r="C21" s="275">
        <v>30</v>
      </c>
      <c r="D21" s="275">
        <v>30</v>
      </c>
      <c r="E21" s="275">
        <v>30</v>
      </c>
      <c r="F21" s="275">
        <v>30</v>
      </c>
      <c r="G21" s="275">
        <v>30</v>
      </c>
      <c r="H21" s="123" t="e">
        <f>#REF!+#REF!+#REF!+#REF!+#REF!</f>
        <v>#REF!</v>
      </c>
      <c r="I21" s="873" t="s">
        <v>38</v>
      </c>
      <c r="J21" s="871" t="s">
        <v>39</v>
      </c>
      <c r="K21" s="871"/>
      <c r="L21" s="871"/>
      <c r="M21" s="871"/>
      <c r="N21" s="871"/>
      <c r="O21" s="875" t="s">
        <v>6</v>
      </c>
      <c r="P21" s="123"/>
      <c r="Q21" s="123"/>
      <c r="R21" s="470"/>
      <c r="S21" s="310">
        <v>47</v>
      </c>
      <c r="T21" s="310"/>
      <c r="U21" s="310"/>
      <c r="V21" s="310"/>
    </row>
    <row r="22" spans="1:26" s="46" customFormat="1" ht="21" customHeight="1">
      <c r="A22" s="406" t="s">
        <v>267</v>
      </c>
      <c r="B22" s="407">
        <v>0</v>
      </c>
      <c r="C22" s="275">
        <v>30</v>
      </c>
      <c r="D22" s="275">
        <v>30</v>
      </c>
      <c r="E22" s="275">
        <v>30</v>
      </c>
      <c r="F22" s="275">
        <v>30</v>
      </c>
      <c r="G22" s="275">
        <v>30</v>
      </c>
      <c r="H22" s="123" t="e">
        <f>#REF!+#REF!+#REF!+#REF!+#REF!</f>
        <v>#REF!</v>
      </c>
      <c r="I22" s="874"/>
      <c r="J22" s="125" t="s">
        <v>41</v>
      </c>
      <c r="K22" s="124" t="s">
        <v>42</v>
      </c>
      <c r="L22" s="124" t="s">
        <v>43</v>
      </c>
      <c r="M22" s="124" t="s">
        <v>25</v>
      </c>
      <c r="N22" s="124" t="s">
        <v>44</v>
      </c>
      <c r="O22" s="876"/>
      <c r="P22" s="123"/>
      <c r="Q22" s="123"/>
      <c r="R22" s="470">
        <v>39</v>
      </c>
      <c r="S22" s="310">
        <v>88</v>
      </c>
      <c r="T22" s="310"/>
      <c r="U22" s="310"/>
      <c r="V22" s="310"/>
    </row>
    <row r="23" spans="1:26" s="46" customFormat="1" ht="21" customHeight="1">
      <c r="A23" s="408" t="s">
        <v>268</v>
      </c>
      <c r="B23" s="409">
        <v>0</v>
      </c>
      <c r="C23" s="410">
        <v>30</v>
      </c>
      <c r="D23" s="410">
        <v>30</v>
      </c>
      <c r="E23" s="410">
        <v>30</v>
      </c>
      <c r="F23" s="410">
        <v>30</v>
      </c>
      <c r="G23" s="410">
        <v>30</v>
      </c>
      <c r="H23" s="123" t="e">
        <f>#REF!+#REF!+#REF!+#REF!+#REF!</f>
        <v>#REF!</v>
      </c>
      <c r="I23" s="115" t="s">
        <v>46</v>
      </c>
      <c r="J23" s="117"/>
      <c r="K23" s="117"/>
      <c r="L23" s="117" t="e">
        <f>#REF!</f>
        <v>#REF!</v>
      </c>
      <c r="M23" s="117"/>
      <c r="N23" s="117" t="e">
        <f>#REF!</f>
        <v>#REF!</v>
      </c>
      <c r="O23" s="117" t="e">
        <f t="shared" ref="O23:O33" si="4">SUM(J23:N23)</f>
        <v>#REF!</v>
      </c>
      <c r="P23" s="123"/>
      <c r="Q23" s="123"/>
      <c r="R23" s="470">
        <v>34</v>
      </c>
      <c r="S23" s="310"/>
      <c r="T23" s="310"/>
      <c r="U23" s="310"/>
      <c r="V23" s="310"/>
    </row>
    <row r="24" spans="1:26" ht="21" customHeight="1">
      <c r="A24" s="411" t="s">
        <v>6</v>
      </c>
      <c r="B24" s="412">
        <f t="shared" ref="B24:C24" si="5">SUM(B6:B23)</f>
        <v>2468</v>
      </c>
      <c r="C24" s="49">
        <f t="shared" si="5"/>
        <v>810</v>
      </c>
      <c r="D24" s="49">
        <f t="shared" ref="D24:G24" si="6">SUM(D6:D23)</f>
        <v>810</v>
      </c>
      <c r="E24" s="49">
        <f t="shared" si="6"/>
        <v>810</v>
      </c>
      <c r="F24" s="49">
        <f t="shared" si="6"/>
        <v>810</v>
      </c>
      <c r="G24" s="49">
        <f t="shared" si="6"/>
        <v>810</v>
      </c>
      <c r="H24" s="135"/>
      <c r="I24" s="126" t="s">
        <v>48</v>
      </c>
      <c r="J24" s="127"/>
      <c r="K24" s="127" t="e">
        <f>#REF!</f>
        <v>#REF!</v>
      </c>
      <c r="L24" s="127"/>
      <c r="M24" s="127"/>
      <c r="N24" s="127"/>
      <c r="O24" s="127" t="e">
        <f t="shared" si="4"/>
        <v>#REF!</v>
      </c>
      <c r="P24" s="135"/>
      <c r="Q24" s="135"/>
      <c r="R24" s="306">
        <f>SUM(R6:R23)</f>
        <v>719</v>
      </c>
      <c r="S24" s="301">
        <f>SUM(S6:S23)</f>
        <v>1350</v>
      </c>
      <c r="T24" s="301">
        <f>SUM(T6:T23)</f>
        <v>859</v>
      </c>
      <c r="U24" s="471">
        <f>SUM(U6:U23)</f>
        <v>633</v>
      </c>
      <c r="V24" s="301">
        <f>SUM(V6:V23)</f>
        <v>390</v>
      </c>
      <c r="W24" s="306"/>
    </row>
    <row r="25" spans="1:26" ht="21" hidden="1" customHeight="1">
      <c r="A25" s="413" t="s">
        <v>14</v>
      </c>
      <c r="B25" s="414"/>
      <c r="C25" s="88"/>
      <c r="D25" s="88"/>
      <c r="E25" s="88"/>
      <c r="F25" s="88"/>
      <c r="G25" s="88"/>
      <c r="H25" s="88"/>
      <c r="I25" s="126" t="s">
        <v>48</v>
      </c>
      <c r="J25" s="127"/>
      <c r="K25" s="127"/>
      <c r="L25" s="127"/>
      <c r="M25" s="127"/>
      <c r="N25" s="127"/>
      <c r="O25" s="127">
        <f t="shared" si="4"/>
        <v>0</v>
      </c>
      <c r="P25" s="88"/>
      <c r="Q25" s="88"/>
    </row>
    <row r="26" spans="1:26" ht="21" hidden="1" customHeight="1">
      <c r="A26" s="415" t="s">
        <v>65</v>
      </c>
      <c r="B26" s="414"/>
      <c r="C26" s="88"/>
      <c r="D26" s="88"/>
      <c r="E26" s="88"/>
      <c r="F26" s="88"/>
      <c r="G26" s="88"/>
      <c r="H26" s="88"/>
      <c r="I26" s="126" t="s">
        <v>46</v>
      </c>
      <c r="J26" s="127"/>
      <c r="K26" s="127"/>
      <c r="L26" s="127"/>
      <c r="M26" s="127"/>
      <c r="N26" s="127"/>
      <c r="O26" s="127">
        <f t="shared" si="4"/>
        <v>0</v>
      </c>
      <c r="P26" s="88"/>
      <c r="Q26" s="88"/>
    </row>
    <row r="27" spans="1:26" ht="21" hidden="1" customHeight="1">
      <c r="A27" s="416" t="s">
        <v>6</v>
      </c>
      <c r="B27" s="417"/>
      <c r="C27" s="135"/>
      <c r="D27" s="135"/>
      <c r="E27" s="135"/>
      <c r="F27" s="135"/>
      <c r="G27" s="135"/>
      <c r="H27" s="135"/>
      <c r="I27" s="126" t="s">
        <v>48</v>
      </c>
      <c r="J27" s="127"/>
      <c r="K27" s="127"/>
      <c r="L27" s="127"/>
      <c r="M27" s="127"/>
      <c r="N27" s="127"/>
      <c r="O27" s="127">
        <f t="shared" si="4"/>
        <v>0</v>
      </c>
      <c r="P27" s="135"/>
      <c r="Q27" s="135"/>
    </row>
    <row r="28" spans="1:26" ht="21" customHeight="1">
      <c r="A28" s="418" t="s">
        <v>16</v>
      </c>
      <c r="B28" s="419"/>
      <c r="C28" s="127"/>
      <c r="D28" s="127"/>
      <c r="E28" s="127"/>
      <c r="F28" s="127"/>
      <c r="G28" s="127"/>
      <c r="H28" s="88"/>
      <c r="I28" s="126" t="s">
        <v>50</v>
      </c>
      <c r="J28" s="127" t="e">
        <f>#REF!</f>
        <v>#REF!</v>
      </c>
      <c r="K28" s="127" t="e">
        <f>#REF!</f>
        <v>#REF!</v>
      </c>
      <c r="L28" s="127"/>
      <c r="M28" s="127"/>
      <c r="N28" s="127"/>
      <c r="O28" s="127" t="e">
        <f t="shared" si="4"/>
        <v>#REF!</v>
      </c>
      <c r="P28" s="88"/>
      <c r="Q28" s="88"/>
    </row>
    <row r="29" spans="1:26" s="394" customFormat="1" ht="21" customHeight="1">
      <c r="A29" s="404" t="s">
        <v>65</v>
      </c>
      <c r="B29" s="405">
        <v>7</v>
      </c>
      <c r="C29" s="420">
        <v>5</v>
      </c>
      <c r="D29" s="420" t="s">
        <v>8</v>
      </c>
      <c r="E29" s="420">
        <v>5</v>
      </c>
      <c r="F29" s="420">
        <v>0</v>
      </c>
      <c r="G29" s="420">
        <v>5</v>
      </c>
      <c r="H29" s="421"/>
      <c r="I29" s="465" t="s">
        <v>6</v>
      </c>
      <c r="J29" s="465" t="e">
        <f t="shared" ref="J29:N30" si="7">SUM(J23:J28)</f>
        <v>#REF!</v>
      </c>
      <c r="K29" s="465" t="e">
        <f t="shared" si="7"/>
        <v>#REF!</v>
      </c>
      <c r="L29" s="465" t="e">
        <f t="shared" si="7"/>
        <v>#REF!</v>
      </c>
      <c r="M29" s="465">
        <f t="shared" si="7"/>
        <v>0</v>
      </c>
      <c r="N29" s="465" t="e">
        <f t="shared" si="7"/>
        <v>#REF!</v>
      </c>
      <c r="O29" s="465" t="e">
        <f t="shared" si="4"/>
        <v>#REF!</v>
      </c>
      <c r="P29" s="421"/>
      <c r="Q29" s="421"/>
      <c r="R29" s="472"/>
      <c r="S29" s="473">
        <v>6</v>
      </c>
      <c r="T29" s="473"/>
      <c r="U29" s="473"/>
      <c r="V29" s="473">
        <f>SUM(R29:U29)</f>
        <v>6</v>
      </c>
      <c r="W29" s="472"/>
      <c r="Z29" s="394">
        <f>690+10</f>
        <v>700</v>
      </c>
    </row>
    <row r="30" spans="1:26" s="394" customFormat="1" ht="21" customHeight="1">
      <c r="A30" s="406" t="s">
        <v>67</v>
      </c>
      <c r="B30" s="407"/>
      <c r="C30" s="422">
        <v>0</v>
      </c>
      <c r="D30" s="422">
        <v>0</v>
      </c>
      <c r="E30" s="422">
        <v>0</v>
      </c>
      <c r="F30" s="422">
        <v>0</v>
      </c>
      <c r="G30" s="422">
        <v>0</v>
      </c>
      <c r="H30" s="421"/>
      <c r="I30" s="465" t="s">
        <v>6</v>
      </c>
      <c r="J30" s="465" t="e">
        <f t="shared" si="7"/>
        <v>#REF!</v>
      </c>
      <c r="K30" s="465" t="e">
        <f t="shared" si="7"/>
        <v>#REF!</v>
      </c>
      <c r="L30" s="465" t="e">
        <f t="shared" si="7"/>
        <v>#REF!</v>
      </c>
      <c r="M30" s="465">
        <f t="shared" si="7"/>
        <v>0</v>
      </c>
      <c r="N30" s="465" t="e">
        <f t="shared" si="7"/>
        <v>#REF!</v>
      </c>
      <c r="O30" s="465" t="e">
        <f t="shared" ref="O30" si="8">SUM(J30:N30)</f>
        <v>#REF!</v>
      </c>
      <c r="P30" s="421"/>
      <c r="Q30" s="421"/>
      <c r="R30" s="472"/>
      <c r="S30" s="473">
        <v>6</v>
      </c>
      <c r="T30" s="473"/>
      <c r="U30" s="473"/>
      <c r="V30" s="473">
        <f>SUM(R30:U30)</f>
        <v>6</v>
      </c>
      <c r="W30" s="472"/>
    </row>
    <row r="31" spans="1:26" s="394" customFormat="1" ht="21" customHeight="1">
      <c r="A31" s="406" t="s">
        <v>68</v>
      </c>
      <c r="B31" s="407">
        <v>23</v>
      </c>
      <c r="C31" s="422" t="s">
        <v>8</v>
      </c>
      <c r="D31" s="422">
        <v>10</v>
      </c>
      <c r="E31" s="422" t="s">
        <v>8</v>
      </c>
      <c r="F31" s="422">
        <v>10</v>
      </c>
      <c r="G31" s="422" t="s">
        <v>8</v>
      </c>
      <c r="H31" s="421"/>
      <c r="I31" s="466" t="s">
        <v>53</v>
      </c>
      <c r="J31" s="467"/>
      <c r="K31" s="467" t="e">
        <f>#REF!</f>
        <v>#REF!</v>
      </c>
      <c r="L31" s="467"/>
      <c r="M31" s="467" t="e">
        <f>#REF!</f>
        <v>#REF!</v>
      </c>
      <c r="N31" s="467" t="e">
        <f>#REF!</f>
        <v>#REF!</v>
      </c>
      <c r="O31" s="467" t="e">
        <f t="shared" si="4"/>
        <v>#REF!</v>
      </c>
      <c r="P31" s="421"/>
      <c r="Q31" s="421"/>
      <c r="R31" s="472">
        <v>6</v>
      </c>
      <c r="S31" s="473"/>
      <c r="T31" s="473">
        <v>19</v>
      </c>
      <c r="U31" s="473"/>
      <c r="V31" s="473">
        <f>SUM(R31:U31)</f>
        <v>25</v>
      </c>
      <c r="W31" s="472"/>
    </row>
    <row r="32" spans="1:26" s="394" customFormat="1" ht="21" customHeight="1">
      <c r="A32" s="408" t="s">
        <v>69</v>
      </c>
      <c r="B32" s="409">
        <v>6</v>
      </c>
      <c r="C32" s="423">
        <v>5</v>
      </c>
      <c r="D32" s="423">
        <f ca="1">-D32</f>
        <v>0</v>
      </c>
      <c r="E32" s="423">
        <v>5</v>
      </c>
      <c r="F32" s="423" t="s">
        <v>8</v>
      </c>
      <c r="G32" s="423">
        <v>5</v>
      </c>
      <c r="H32" s="421"/>
      <c r="I32" s="466" t="s">
        <v>55</v>
      </c>
      <c r="J32" s="467"/>
      <c r="K32" s="467" t="e">
        <f>#REF!</f>
        <v>#REF!</v>
      </c>
      <c r="L32" s="467"/>
      <c r="M32" s="467"/>
      <c r="N32" s="467"/>
      <c r="O32" s="467" t="e">
        <f t="shared" si="4"/>
        <v>#REF!</v>
      </c>
      <c r="P32" s="421"/>
      <c r="Q32" s="421"/>
      <c r="R32" s="472"/>
      <c r="S32" s="473"/>
      <c r="T32" s="473">
        <v>9</v>
      </c>
      <c r="U32" s="473"/>
      <c r="V32" s="473">
        <f>SUM(R32:U32)</f>
        <v>9</v>
      </c>
      <c r="W32" s="472"/>
    </row>
    <row r="33" spans="1:25" s="394" customFormat="1" ht="21" customHeight="1">
      <c r="A33" s="411" t="s">
        <v>6</v>
      </c>
      <c r="B33" s="419">
        <f>SUM(B29:B32)</f>
        <v>36</v>
      </c>
      <c r="C33" s="424">
        <f t="shared" ref="C33:G33" si="9">SUM(C29:C32)</f>
        <v>10</v>
      </c>
      <c r="D33" s="424">
        <f t="shared" ca="1" si="9"/>
        <v>10</v>
      </c>
      <c r="E33" s="424">
        <f t="shared" si="9"/>
        <v>10</v>
      </c>
      <c r="F33" s="424">
        <f t="shared" si="9"/>
        <v>10</v>
      </c>
      <c r="G33" s="424">
        <f t="shared" si="9"/>
        <v>10</v>
      </c>
      <c r="H33" s="425"/>
      <c r="I33" s="466" t="s">
        <v>57</v>
      </c>
      <c r="J33" s="467" t="e">
        <f>#REF!</f>
        <v>#REF!</v>
      </c>
      <c r="K33" s="467" t="e">
        <f>#REF!</f>
        <v>#REF!</v>
      </c>
      <c r="L33" s="467"/>
      <c r="M33" s="467"/>
      <c r="N33" s="467"/>
      <c r="O33" s="467" t="e">
        <f t="shared" si="4"/>
        <v>#REF!</v>
      </c>
      <c r="P33" s="425"/>
      <c r="Q33" s="425"/>
      <c r="R33" s="472">
        <f>SUM(R29:R32)</f>
        <v>6</v>
      </c>
      <c r="S33" s="473">
        <f>SUM(S29:S32)</f>
        <v>12</v>
      </c>
      <c r="T33" s="473">
        <f>SUM(T29:T32)</f>
        <v>28</v>
      </c>
      <c r="V33" s="472">
        <f>SUM(R33:U33)</f>
        <v>46</v>
      </c>
      <c r="W33" s="472"/>
    </row>
    <row r="34" spans="1:25" ht="21" customHeight="1">
      <c r="A34" s="426" t="s">
        <v>70</v>
      </c>
      <c r="B34" s="424">
        <f t="shared" ref="B34:G34" si="10">SUM(B49,B57,B54)</f>
        <v>647</v>
      </c>
      <c r="C34" s="49">
        <f t="shared" si="10"/>
        <v>320</v>
      </c>
      <c r="D34" s="49">
        <f t="shared" si="10"/>
        <v>320</v>
      </c>
      <c r="E34" s="49">
        <f t="shared" si="10"/>
        <v>320</v>
      </c>
      <c r="F34" s="49">
        <f t="shared" ref="F34" si="11">SUM(F49,F57,F54)</f>
        <v>320</v>
      </c>
      <c r="G34" s="49">
        <f t="shared" si="10"/>
        <v>320</v>
      </c>
      <c r="H34" s="135"/>
      <c r="I34" s="129" t="s">
        <v>6</v>
      </c>
      <c r="J34" s="49" t="e">
        <f t="shared" ref="J34:O34" si="12">SUM(J31:J33)</f>
        <v>#REF!</v>
      </c>
      <c r="K34" s="49" t="e">
        <f t="shared" si="12"/>
        <v>#REF!</v>
      </c>
      <c r="L34" s="49">
        <f t="shared" si="12"/>
        <v>0</v>
      </c>
      <c r="M34" s="49" t="e">
        <f t="shared" si="12"/>
        <v>#REF!</v>
      </c>
      <c r="N34" s="49" t="e">
        <f t="shared" si="12"/>
        <v>#REF!</v>
      </c>
      <c r="O34" s="49" t="e">
        <f t="shared" si="12"/>
        <v>#REF!</v>
      </c>
      <c r="P34" s="135"/>
      <c r="Q34" s="135"/>
      <c r="T34" s="301" t="e">
        <f>#REF!</f>
        <v>#REF!</v>
      </c>
      <c r="U34" s="301" t="e">
        <f>#REF!</f>
        <v>#REF!</v>
      </c>
      <c r="V34" s="301" t="e">
        <f>#REF!</f>
        <v>#REF!</v>
      </c>
      <c r="W34" s="301"/>
      <c r="Y34" s="46" t="s">
        <v>269</v>
      </c>
    </row>
    <row r="35" spans="1:25" ht="21" customHeight="1">
      <c r="A35" s="427" t="s">
        <v>71</v>
      </c>
      <c r="B35" s="428">
        <v>113</v>
      </c>
      <c r="C35" s="429">
        <v>30</v>
      </c>
      <c r="D35" s="429">
        <v>30</v>
      </c>
      <c r="E35" s="429">
        <v>30</v>
      </c>
      <c r="F35" s="429">
        <v>30</v>
      </c>
      <c r="G35" s="429">
        <v>30</v>
      </c>
      <c r="H35" s="131" t="e">
        <f>#REF!+#REF!+#REF!+#REF!+#REF!</f>
        <v>#REF!</v>
      </c>
      <c r="I35" s="129" t="s">
        <v>21</v>
      </c>
      <c r="J35" s="49" t="e">
        <f t="shared" ref="J35:O35" si="13">SUM(J29,J34)</f>
        <v>#REF!</v>
      </c>
      <c r="K35" s="49" t="e">
        <f t="shared" si="13"/>
        <v>#REF!</v>
      </c>
      <c r="L35" s="49" t="e">
        <f t="shared" si="13"/>
        <v>#REF!</v>
      </c>
      <c r="M35" s="49" t="e">
        <f t="shared" si="13"/>
        <v>#REF!</v>
      </c>
      <c r="N35" s="49" t="e">
        <f t="shared" si="13"/>
        <v>#REF!</v>
      </c>
      <c r="O35" s="49" t="e">
        <f t="shared" si="13"/>
        <v>#REF!</v>
      </c>
      <c r="P35" s="131"/>
      <c r="Q35" s="131"/>
      <c r="R35" s="306">
        <v>93</v>
      </c>
      <c r="S35" s="301">
        <v>69</v>
      </c>
      <c r="T35" s="301">
        <v>72</v>
      </c>
      <c r="U35" s="301">
        <v>70</v>
      </c>
      <c r="V35" s="301">
        <v>51</v>
      </c>
    </row>
    <row r="36" spans="1:25" ht="21" customHeight="1">
      <c r="A36" s="430" t="s">
        <v>270</v>
      </c>
      <c r="B36" s="431">
        <v>128</v>
      </c>
      <c r="C36" s="432">
        <v>40</v>
      </c>
      <c r="D36" s="432">
        <v>40</v>
      </c>
      <c r="E36" s="432">
        <v>40</v>
      </c>
      <c r="F36" s="432">
        <v>40</v>
      </c>
      <c r="G36" s="432">
        <v>40</v>
      </c>
      <c r="H36" s="131" t="e">
        <f>#REF!+#REF!+#REF!+#REF!+#REF!</f>
        <v>#REF!</v>
      </c>
      <c r="I36" s="136"/>
      <c r="J36" s="847" t="e">
        <f>J35+K35+L35</f>
        <v>#REF!</v>
      </c>
      <c r="K36" s="848"/>
      <c r="L36" s="849"/>
      <c r="M36" s="88"/>
      <c r="N36" s="88"/>
      <c r="O36" s="88"/>
      <c r="P36" s="131"/>
      <c r="Q36" s="131"/>
      <c r="R36" s="306">
        <v>88</v>
      </c>
      <c r="S36" s="301">
        <v>69</v>
      </c>
      <c r="T36" s="301">
        <v>61</v>
      </c>
      <c r="U36" s="301">
        <v>37</v>
      </c>
      <c r="V36" s="301">
        <v>24</v>
      </c>
    </row>
    <row r="37" spans="1:25" ht="21" customHeight="1">
      <c r="A37" s="433" t="s">
        <v>54</v>
      </c>
      <c r="B37" s="431">
        <v>75</v>
      </c>
      <c r="C37" s="432">
        <v>30</v>
      </c>
      <c r="D37" s="432">
        <v>30</v>
      </c>
      <c r="E37" s="432">
        <v>30</v>
      </c>
      <c r="F37" s="432">
        <v>30</v>
      </c>
      <c r="G37" s="432">
        <v>30</v>
      </c>
      <c r="H37" s="131" t="e">
        <f>#REF!+#REF!+#REF!+#REF!+#REF!</f>
        <v>#REF!</v>
      </c>
      <c r="I37" s="130"/>
      <c r="J37" s="131"/>
      <c r="K37" s="131"/>
      <c r="L37" s="131"/>
      <c r="M37" s="131"/>
      <c r="N37" s="131"/>
      <c r="O37" s="131"/>
      <c r="P37" s="131"/>
      <c r="Q37" s="131"/>
      <c r="R37" s="306">
        <v>36</v>
      </c>
      <c r="S37" s="301"/>
      <c r="T37" s="301"/>
      <c r="U37" s="301"/>
      <c r="V37" s="301">
        <v>1</v>
      </c>
    </row>
    <row r="38" spans="1:25" ht="21" customHeight="1">
      <c r="A38" s="433" t="s">
        <v>60</v>
      </c>
      <c r="B38" s="431">
        <v>23</v>
      </c>
      <c r="C38" s="432">
        <v>40</v>
      </c>
      <c r="D38" s="432">
        <v>40</v>
      </c>
      <c r="E38" s="432">
        <v>40</v>
      </c>
      <c r="F38" s="432">
        <v>40</v>
      </c>
      <c r="G38" s="432">
        <v>40</v>
      </c>
      <c r="H38" s="131" t="e">
        <f>#REF!+#REF!+#REF!+#REF!+#REF!</f>
        <v>#REF!</v>
      </c>
      <c r="I38" s="130"/>
      <c r="J38" s="131"/>
      <c r="K38" s="131"/>
      <c r="L38" s="131"/>
      <c r="M38" s="131"/>
      <c r="N38" s="131"/>
      <c r="O38" s="131"/>
      <c r="P38" s="131"/>
      <c r="Q38" s="131"/>
      <c r="R38" s="306">
        <v>27</v>
      </c>
      <c r="S38" s="301">
        <v>23</v>
      </c>
      <c r="T38" s="301">
        <v>45</v>
      </c>
      <c r="U38" s="301">
        <v>38</v>
      </c>
      <c r="V38" s="301">
        <v>10</v>
      </c>
    </row>
    <row r="39" spans="1:25" ht="21" customHeight="1">
      <c r="A39" s="433" t="s">
        <v>62</v>
      </c>
      <c r="B39" s="431">
        <v>5</v>
      </c>
      <c r="C39" s="432">
        <v>20</v>
      </c>
      <c r="D39" s="432">
        <v>20</v>
      </c>
      <c r="E39" s="432">
        <v>20</v>
      </c>
      <c r="F39" s="432">
        <v>20</v>
      </c>
      <c r="G39" s="432">
        <v>20</v>
      </c>
      <c r="H39" s="131" t="e">
        <f>#REF!+#REF!+#REF!+#REF!+#REF!</f>
        <v>#REF!</v>
      </c>
      <c r="I39" s="130"/>
      <c r="J39" s="131"/>
      <c r="K39" s="131"/>
      <c r="L39" s="131"/>
      <c r="M39" s="131"/>
      <c r="N39" s="131"/>
      <c r="O39" s="131"/>
      <c r="P39" s="131"/>
      <c r="Q39" s="131"/>
      <c r="R39" s="306">
        <v>43</v>
      </c>
      <c r="S39" s="301">
        <v>27</v>
      </c>
      <c r="T39" s="301">
        <v>37</v>
      </c>
      <c r="U39" s="301">
        <v>36</v>
      </c>
      <c r="V39" s="301"/>
    </row>
    <row r="40" spans="1:25" ht="21" hidden="1" customHeight="1">
      <c r="A40" s="433" t="s">
        <v>75</v>
      </c>
      <c r="B40" s="431"/>
      <c r="C40" s="434"/>
      <c r="D40" s="434"/>
      <c r="E40" s="434"/>
      <c r="F40" s="434"/>
      <c r="G40" s="434"/>
      <c r="H40" s="131"/>
      <c r="I40" s="130"/>
      <c r="J40" s="131"/>
      <c r="K40" s="131"/>
      <c r="L40" s="131"/>
      <c r="M40" s="131"/>
      <c r="N40" s="131"/>
      <c r="O40" s="131"/>
      <c r="P40" s="131"/>
      <c r="Q40" s="131"/>
      <c r="R40" s="306"/>
      <c r="S40" s="301"/>
      <c r="T40" s="301"/>
      <c r="U40" s="301"/>
      <c r="V40" s="301"/>
    </row>
    <row r="41" spans="1:25" ht="21" customHeight="1">
      <c r="A41" s="433" t="s">
        <v>76</v>
      </c>
      <c r="B41" s="431">
        <v>50</v>
      </c>
      <c r="C41" s="432">
        <v>40</v>
      </c>
      <c r="D41" s="432">
        <v>40</v>
      </c>
      <c r="E41" s="432">
        <v>40</v>
      </c>
      <c r="F41" s="432">
        <v>40</v>
      </c>
      <c r="G41" s="432">
        <v>40</v>
      </c>
      <c r="H41" s="131" t="e">
        <f>#REF!+#REF!+#REF!+#REF!+#REF!</f>
        <v>#REF!</v>
      </c>
      <c r="I41" s="130"/>
      <c r="J41" s="131"/>
      <c r="K41" s="131"/>
      <c r="L41" s="131"/>
      <c r="M41" s="131"/>
      <c r="N41" s="131"/>
      <c r="O41" s="131"/>
      <c r="P41" s="131"/>
      <c r="Q41" s="131"/>
      <c r="R41" s="306">
        <v>53</v>
      </c>
      <c r="S41" s="301">
        <v>37</v>
      </c>
      <c r="T41" s="301">
        <v>100</v>
      </c>
      <c r="U41" s="301">
        <v>46</v>
      </c>
      <c r="V41" s="301">
        <v>12</v>
      </c>
    </row>
    <row r="42" spans="1:25" ht="21" hidden="1" customHeight="1">
      <c r="A42" s="433" t="s">
        <v>77</v>
      </c>
      <c r="B42" s="431"/>
      <c r="C42" s="434"/>
      <c r="D42" s="434"/>
      <c r="E42" s="434"/>
      <c r="F42" s="434"/>
      <c r="G42" s="434"/>
      <c r="H42" s="131"/>
      <c r="I42" s="130"/>
      <c r="J42" s="131"/>
      <c r="K42" s="131"/>
      <c r="L42" s="131"/>
      <c r="M42" s="131"/>
      <c r="N42" s="131"/>
      <c r="O42" s="131"/>
      <c r="P42" s="131"/>
      <c r="Q42" s="131"/>
      <c r="R42" s="306"/>
      <c r="S42" s="301">
        <v>74</v>
      </c>
      <c r="T42" s="301">
        <v>92</v>
      </c>
      <c r="U42" s="301">
        <v>59</v>
      </c>
      <c r="V42" s="301">
        <v>4</v>
      </c>
    </row>
    <row r="43" spans="1:25" ht="21" customHeight="1">
      <c r="A43" s="433" t="s">
        <v>271</v>
      </c>
      <c r="B43" s="431">
        <v>26</v>
      </c>
      <c r="C43" s="432">
        <v>30</v>
      </c>
      <c r="D43" s="432">
        <v>30</v>
      </c>
      <c r="E43" s="432">
        <v>30</v>
      </c>
      <c r="F43" s="432">
        <v>30</v>
      </c>
      <c r="G43" s="432">
        <v>30</v>
      </c>
      <c r="H43" s="131" t="e">
        <f>#REF!+#REF!+#REF!+#REF!+#REF!</f>
        <v>#REF!</v>
      </c>
      <c r="I43" s="130"/>
      <c r="J43" s="131"/>
      <c r="K43" s="131"/>
      <c r="L43" s="131"/>
      <c r="M43" s="131"/>
      <c r="N43" s="131"/>
      <c r="O43" s="131"/>
      <c r="P43" s="131"/>
      <c r="Q43" s="131"/>
      <c r="R43" s="306">
        <v>80</v>
      </c>
      <c r="S43" s="301"/>
      <c r="T43" s="301"/>
      <c r="U43" s="301"/>
      <c r="V43" s="301"/>
    </row>
    <row r="44" spans="1:25" ht="21" customHeight="1">
      <c r="A44" s="433" t="s">
        <v>272</v>
      </c>
      <c r="B44" s="435">
        <v>79</v>
      </c>
      <c r="C44" s="436">
        <v>0</v>
      </c>
      <c r="D44" s="436">
        <v>0</v>
      </c>
      <c r="E44" s="436">
        <v>0</v>
      </c>
      <c r="F44" s="436">
        <v>0</v>
      </c>
      <c r="G44" s="436">
        <v>0</v>
      </c>
      <c r="H44" s="131" t="e">
        <f>#REF!+#REF!+#REF!+#REF!+#REF!</f>
        <v>#REF!</v>
      </c>
      <c r="I44" s="130"/>
      <c r="J44" s="131"/>
      <c r="K44" s="131"/>
      <c r="L44" s="131"/>
      <c r="M44" s="131"/>
      <c r="N44" s="131"/>
      <c r="O44" s="131"/>
      <c r="P44" s="131"/>
      <c r="Q44" s="131"/>
      <c r="R44" s="306">
        <v>80</v>
      </c>
      <c r="S44" s="301"/>
      <c r="T44" s="301"/>
      <c r="U44" s="301"/>
      <c r="V44" s="301"/>
    </row>
    <row r="45" spans="1:25" ht="21" customHeight="1">
      <c r="A45" s="433" t="s">
        <v>273</v>
      </c>
      <c r="B45" s="431">
        <f>32+31+31</f>
        <v>94</v>
      </c>
      <c r="C45" s="432">
        <v>30</v>
      </c>
      <c r="D45" s="432">
        <v>30</v>
      </c>
      <c r="E45" s="432">
        <v>30</v>
      </c>
      <c r="F45" s="432">
        <v>30</v>
      </c>
      <c r="G45" s="432">
        <v>30</v>
      </c>
      <c r="H45" s="131" t="e">
        <f>#REF!+#REF!+#REF!+#REF!+#REF!</f>
        <v>#REF!</v>
      </c>
      <c r="I45" s="130"/>
      <c r="J45" s="131"/>
      <c r="K45" s="131"/>
      <c r="L45" s="131"/>
      <c r="M45" s="131"/>
      <c r="N45" s="131"/>
      <c r="O45" s="131"/>
      <c r="P45" s="131"/>
      <c r="Q45" s="131"/>
      <c r="R45" s="306">
        <v>80</v>
      </c>
      <c r="S45" s="301"/>
      <c r="T45" s="301"/>
      <c r="U45" s="301"/>
      <c r="V45" s="301"/>
    </row>
    <row r="46" spans="1:25" ht="21" customHeight="1">
      <c r="A46" s="433" t="s">
        <v>79</v>
      </c>
      <c r="B46" s="431">
        <v>43</v>
      </c>
      <c r="C46" s="432">
        <v>30</v>
      </c>
      <c r="D46" s="432">
        <v>30</v>
      </c>
      <c r="E46" s="432">
        <v>30</v>
      </c>
      <c r="F46" s="432">
        <v>30</v>
      </c>
      <c r="G46" s="432">
        <v>30</v>
      </c>
      <c r="H46" s="131" t="e">
        <f>#REF!+#REF!+#REF!+#REF!+#REF!</f>
        <v>#REF!</v>
      </c>
      <c r="I46" s="130"/>
      <c r="J46" s="131"/>
      <c r="K46" s="131"/>
      <c r="L46" s="131"/>
      <c r="M46" s="131"/>
      <c r="N46" s="131"/>
      <c r="O46" s="131"/>
      <c r="P46" s="131"/>
      <c r="Q46" s="131"/>
      <c r="R46" s="306">
        <v>32</v>
      </c>
      <c r="S46" s="301"/>
      <c r="T46" s="301"/>
      <c r="U46" s="301"/>
      <c r="V46" s="301">
        <v>2</v>
      </c>
    </row>
    <row r="47" spans="1:25" ht="21" customHeight="1">
      <c r="A47" s="437" t="s">
        <v>274</v>
      </c>
      <c r="B47" s="438">
        <v>0</v>
      </c>
      <c r="C47" s="439">
        <v>0</v>
      </c>
      <c r="D47" s="439">
        <v>0</v>
      </c>
      <c r="E47" s="439">
        <v>0</v>
      </c>
      <c r="F47" s="439">
        <v>0</v>
      </c>
      <c r="G47" s="439">
        <v>0</v>
      </c>
      <c r="H47" s="131" t="e">
        <f>#REF!+#REF!+#REF!+#REF!+#REF!</f>
        <v>#REF!</v>
      </c>
      <c r="I47" s="130"/>
      <c r="J47" s="131"/>
      <c r="K47" s="131"/>
      <c r="L47" s="131"/>
      <c r="M47" s="131"/>
      <c r="N47" s="131"/>
      <c r="O47" s="131"/>
      <c r="P47" s="131"/>
      <c r="Q47" s="131"/>
      <c r="R47" s="306">
        <v>80</v>
      </c>
      <c r="S47" s="301"/>
      <c r="T47" s="301"/>
      <c r="U47" s="301"/>
      <c r="V47" s="301"/>
    </row>
    <row r="48" spans="1:25" ht="21" customHeight="1">
      <c r="A48" s="440" t="s">
        <v>275</v>
      </c>
      <c r="B48" s="441">
        <v>0</v>
      </c>
      <c r="C48" s="442">
        <v>0</v>
      </c>
      <c r="D48" s="442">
        <v>0</v>
      </c>
      <c r="E48" s="442">
        <v>0</v>
      </c>
      <c r="F48" s="442">
        <v>0</v>
      </c>
      <c r="G48" s="442">
        <v>0</v>
      </c>
      <c r="H48" s="131" t="e">
        <f>#REF!+#REF!+#REF!+#REF!+#REF!</f>
        <v>#REF!</v>
      </c>
      <c r="I48" s="130"/>
      <c r="J48" s="131"/>
      <c r="K48" s="131"/>
      <c r="L48" s="131"/>
      <c r="M48" s="131"/>
      <c r="N48" s="131"/>
      <c r="O48" s="131"/>
      <c r="P48" s="131"/>
      <c r="Q48" s="131"/>
      <c r="R48" s="306">
        <v>32</v>
      </c>
      <c r="S48" s="301"/>
      <c r="T48" s="301"/>
      <c r="U48" s="301"/>
      <c r="V48" s="301">
        <v>2</v>
      </c>
    </row>
    <row r="49" spans="1:25" ht="21" customHeight="1">
      <c r="A49" s="411" t="s">
        <v>6</v>
      </c>
      <c r="B49" s="424">
        <f>SUM(B35:B48)</f>
        <v>636</v>
      </c>
      <c r="C49" s="49">
        <f t="shared" ref="C49:G49" si="14">SUM(C35:C48)</f>
        <v>290</v>
      </c>
      <c r="D49" s="49">
        <f t="shared" si="14"/>
        <v>290</v>
      </c>
      <c r="E49" s="49">
        <f t="shared" si="14"/>
        <v>290</v>
      </c>
      <c r="F49" s="49">
        <f t="shared" ref="F49" si="15">SUM(F35:F48)</f>
        <v>290</v>
      </c>
      <c r="G49" s="49">
        <f t="shared" si="14"/>
        <v>290</v>
      </c>
      <c r="H49" s="135"/>
      <c r="I49" s="134"/>
      <c r="J49" s="135"/>
      <c r="K49" s="135"/>
      <c r="L49" s="135"/>
      <c r="M49" s="135"/>
      <c r="N49" s="135"/>
      <c r="O49" s="135"/>
      <c r="P49" s="135"/>
      <c r="Q49" s="135"/>
      <c r="R49" s="306">
        <f>SUM(R35:R48)</f>
        <v>724</v>
      </c>
      <c r="S49" s="301">
        <f>SUM(S35:S48)</f>
        <v>299</v>
      </c>
      <c r="T49" s="301">
        <f>SUM(T35:T48)</f>
        <v>407</v>
      </c>
      <c r="U49" s="301">
        <f>SUM(U35:U48)</f>
        <v>286</v>
      </c>
      <c r="V49" s="301">
        <f>SUM(V35:V48)</f>
        <v>106</v>
      </c>
      <c r="W49" s="301"/>
      <c r="X49" s="301"/>
    </row>
    <row r="50" spans="1:25" ht="21" customHeight="1">
      <c r="A50" s="443" t="s">
        <v>14</v>
      </c>
      <c r="B50" s="444"/>
      <c r="C50" s="283"/>
      <c r="D50" s="283"/>
      <c r="E50" s="283"/>
      <c r="F50" s="283"/>
      <c r="G50" s="283"/>
      <c r="H50" s="88"/>
      <c r="I50" s="136"/>
      <c r="J50" s="88"/>
      <c r="K50" s="88"/>
      <c r="L50" s="88"/>
      <c r="M50" s="88"/>
      <c r="N50" s="88"/>
      <c r="O50" s="88"/>
      <c r="P50" s="88"/>
      <c r="Q50" s="88"/>
      <c r="Y50" s="46" t="s">
        <v>269</v>
      </c>
    </row>
    <row r="51" spans="1:25" ht="21" customHeight="1">
      <c r="A51" s="406" t="s">
        <v>62</v>
      </c>
      <c r="B51" s="407">
        <v>6</v>
      </c>
      <c r="C51" s="445">
        <v>10</v>
      </c>
      <c r="D51" s="445">
        <v>10</v>
      </c>
      <c r="E51" s="445">
        <v>10</v>
      </c>
      <c r="F51" s="445">
        <v>10</v>
      </c>
      <c r="G51" s="445">
        <v>10</v>
      </c>
      <c r="H51" s="446"/>
      <c r="I51" s="137"/>
      <c r="J51" s="138"/>
      <c r="K51" s="138"/>
      <c r="L51" s="138"/>
      <c r="M51" s="138"/>
      <c r="N51" s="138"/>
      <c r="O51" s="138"/>
      <c r="P51" s="446"/>
      <c r="Q51" s="446"/>
      <c r="R51" s="306">
        <v>6</v>
      </c>
      <c r="S51" s="301"/>
      <c r="T51" s="301">
        <v>3</v>
      </c>
      <c r="U51" s="301"/>
      <c r="V51" s="301"/>
    </row>
    <row r="52" spans="1:25" ht="21" customHeight="1">
      <c r="A52" s="406" t="s">
        <v>276</v>
      </c>
      <c r="B52" s="447">
        <v>0</v>
      </c>
      <c r="C52" s="448">
        <v>0</v>
      </c>
      <c r="D52" s="448">
        <v>0</v>
      </c>
      <c r="E52" s="448">
        <v>0</v>
      </c>
      <c r="F52" s="448">
        <v>0</v>
      </c>
      <c r="G52" s="448">
        <v>0</v>
      </c>
      <c r="H52" s="446"/>
      <c r="I52" s="137"/>
      <c r="J52" s="138"/>
      <c r="K52" s="138"/>
      <c r="L52" s="138"/>
      <c r="M52" s="138"/>
      <c r="N52" s="138"/>
      <c r="O52" s="138"/>
      <c r="P52" s="446"/>
      <c r="Q52" s="446"/>
      <c r="R52" s="306">
        <v>2</v>
      </c>
      <c r="S52" s="301"/>
      <c r="T52" s="301">
        <v>3</v>
      </c>
      <c r="U52" s="301"/>
      <c r="V52" s="301"/>
    </row>
    <row r="53" spans="1:25" ht="21" customHeight="1">
      <c r="A53" s="415" t="s">
        <v>277</v>
      </c>
      <c r="B53" s="449">
        <v>0</v>
      </c>
      <c r="C53" s="450">
        <v>10</v>
      </c>
      <c r="D53" s="450">
        <v>10</v>
      </c>
      <c r="E53" s="450">
        <v>10</v>
      </c>
      <c r="F53" s="450">
        <v>10</v>
      </c>
      <c r="G53" s="450">
        <v>10</v>
      </c>
      <c r="H53" s="446"/>
      <c r="I53" s="137"/>
      <c r="J53" s="138"/>
      <c r="K53" s="138"/>
      <c r="L53" s="138"/>
      <c r="M53" s="138"/>
      <c r="N53" s="138"/>
      <c r="O53" s="138"/>
      <c r="P53" s="446"/>
      <c r="Q53" s="446"/>
      <c r="R53" s="306">
        <v>2</v>
      </c>
      <c r="S53" s="301"/>
      <c r="T53" s="301">
        <v>3</v>
      </c>
      <c r="U53" s="301"/>
      <c r="V53" s="301"/>
    </row>
    <row r="54" spans="1:25" ht="21" customHeight="1">
      <c r="A54" s="411" t="s">
        <v>6</v>
      </c>
      <c r="B54" s="419">
        <f>SUM(B51:B53)</f>
        <v>6</v>
      </c>
      <c r="C54" s="49">
        <f t="shared" ref="C54:G54" si="16">SUM(C51:C53)</f>
        <v>20</v>
      </c>
      <c r="D54" s="49">
        <f t="shared" si="16"/>
        <v>20</v>
      </c>
      <c r="E54" s="49">
        <f t="shared" si="16"/>
        <v>20</v>
      </c>
      <c r="F54" s="49">
        <f t="shared" ref="F54" si="17">SUM(F51:F53)</f>
        <v>20</v>
      </c>
      <c r="G54" s="49">
        <f t="shared" si="16"/>
        <v>20</v>
      </c>
      <c r="H54" s="135"/>
      <c r="I54" s="134"/>
      <c r="J54" s="439">
        <v>21</v>
      </c>
      <c r="K54" s="439">
        <v>33</v>
      </c>
      <c r="L54" s="439">
        <f>4+2+1</f>
        <v>7</v>
      </c>
      <c r="M54" s="135">
        <f>SUM(J54:L54)</f>
        <v>61</v>
      </c>
      <c r="N54" s="135"/>
      <c r="O54" s="135"/>
      <c r="P54" s="135"/>
      <c r="Q54" s="135"/>
      <c r="R54" s="306">
        <f>SUM(R51:R52)</f>
        <v>8</v>
      </c>
      <c r="T54" s="301">
        <f>SUM(T51:T52)</f>
        <v>6</v>
      </c>
      <c r="U54" s="301">
        <f>SUM(U51:U52)</f>
        <v>0</v>
      </c>
      <c r="W54" s="306"/>
    </row>
    <row r="55" spans="1:25" ht="21" customHeight="1">
      <c r="A55" s="451" t="s">
        <v>16</v>
      </c>
      <c r="B55" s="452"/>
      <c r="C55" s="277"/>
      <c r="D55" s="277"/>
      <c r="E55" s="277"/>
      <c r="F55" s="277"/>
      <c r="G55" s="277"/>
      <c r="H55" s="88"/>
      <c r="I55" s="136"/>
      <c r="J55" s="439">
        <v>19</v>
      </c>
      <c r="K55" s="439">
        <v>20</v>
      </c>
      <c r="L55" s="439">
        <f>4+3+1</f>
        <v>8</v>
      </c>
      <c r="M55" s="135">
        <f t="shared" ref="M55:M59" si="18">SUM(J55:L55)</f>
        <v>47</v>
      </c>
      <c r="N55" s="88"/>
      <c r="O55" s="88"/>
      <c r="P55" s="88"/>
      <c r="Q55" s="88"/>
    </row>
    <row r="56" spans="1:25" ht="21" customHeight="1">
      <c r="A56" s="415" t="s">
        <v>62</v>
      </c>
      <c r="B56" s="453">
        <v>5</v>
      </c>
      <c r="C56" s="279">
        <v>10</v>
      </c>
      <c r="D56" s="279">
        <v>10</v>
      </c>
      <c r="E56" s="279">
        <v>10</v>
      </c>
      <c r="F56" s="279">
        <v>10</v>
      </c>
      <c r="G56" s="279">
        <v>10</v>
      </c>
      <c r="H56" s="88"/>
      <c r="I56" s="136"/>
      <c r="J56" s="439">
        <f>20+27</f>
        <v>47</v>
      </c>
      <c r="K56" s="439">
        <f>26+27+1</f>
        <v>54</v>
      </c>
      <c r="L56" s="439">
        <f>5+5+5</f>
        <v>15</v>
      </c>
      <c r="M56" s="135">
        <f t="shared" si="18"/>
        <v>116</v>
      </c>
      <c r="N56" s="88"/>
      <c r="O56" s="88"/>
      <c r="P56" s="88"/>
      <c r="Q56" s="88"/>
    </row>
    <row r="57" spans="1:25" ht="21" customHeight="1">
      <c r="A57" s="411" t="s">
        <v>6</v>
      </c>
      <c r="B57" s="419">
        <f>SUM(B56)</f>
        <v>5</v>
      </c>
      <c r="C57" s="49">
        <f t="shared" ref="C57:G57" si="19">SUM(C56:C56)</f>
        <v>10</v>
      </c>
      <c r="D57" s="49">
        <f t="shared" si="19"/>
        <v>10</v>
      </c>
      <c r="E57" s="49">
        <f t="shared" si="19"/>
        <v>10</v>
      </c>
      <c r="F57" s="49">
        <f t="shared" ref="F57" si="20">SUM(F56:F56)</f>
        <v>10</v>
      </c>
      <c r="G57" s="49">
        <f t="shared" si="19"/>
        <v>10</v>
      </c>
      <c r="H57" s="135"/>
      <c r="I57" s="134"/>
      <c r="J57" s="439">
        <v>12</v>
      </c>
      <c r="K57" s="439">
        <v>11</v>
      </c>
      <c r="L57" s="439">
        <v>5</v>
      </c>
      <c r="M57" s="135">
        <f t="shared" si="18"/>
        <v>28</v>
      </c>
      <c r="N57" s="135"/>
      <c r="O57" s="135"/>
      <c r="P57" s="135"/>
      <c r="Q57" s="135"/>
    </row>
    <row r="58" spans="1:25" ht="21" customHeight="1">
      <c r="A58" s="454" t="s">
        <v>83</v>
      </c>
      <c r="B58" s="455">
        <f>B76+B85+B86+B88</f>
        <v>314</v>
      </c>
      <c r="C58" s="455">
        <f t="shared" ref="C58:G58" si="21">C76+C85+C86+C88</f>
        <v>325</v>
      </c>
      <c r="D58" s="455">
        <f t="shared" si="21"/>
        <v>325</v>
      </c>
      <c r="E58" s="455">
        <f t="shared" si="21"/>
        <v>325</v>
      </c>
      <c r="F58" s="455">
        <f t="shared" si="21"/>
        <v>325</v>
      </c>
      <c r="G58" s="455">
        <f t="shared" si="21"/>
        <v>325</v>
      </c>
      <c r="H58" s="140"/>
      <c r="I58" s="139">
        <v>918</v>
      </c>
      <c r="J58" s="439">
        <f>19+7</f>
        <v>26</v>
      </c>
      <c r="K58" s="439">
        <v>14</v>
      </c>
      <c r="L58" s="439">
        <f>2+2</f>
        <v>4</v>
      </c>
      <c r="M58" s="135">
        <f t="shared" si="18"/>
        <v>44</v>
      </c>
      <c r="N58" s="140"/>
      <c r="O58" s="140"/>
      <c r="P58" s="140"/>
      <c r="Q58" s="140"/>
      <c r="T58" s="301" t="e">
        <f>#REF!</f>
        <v>#REF!</v>
      </c>
      <c r="W58" s="47">
        <f>1294+870</f>
        <v>2164</v>
      </c>
      <c r="Y58" s="46" t="s">
        <v>278</v>
      </c>
    </row>
    <row r="59" spans="1:25" ht="21" hidden="1" customHeight="1">
      <c r="A59" s="456" t="s">
        <v>84</v>
      </c>
      <c r="B59" s="457"/>
      <c r="C59" s="131"/>
      <c r="D59" s="131"/>
      <c r="E59" s="131"/>
      <c r="F59" s="131"/>
      <c r="G59" s="131"/>
      <c r="H59" s="131" t="e">
        <f>#REF!+#REF!+#REF!+#REF!+#REF!</f>
        <v>#REF!</v>
      </c>
      <c r="I59" s="130"/>
      <c r="J59" s="468">
        <v>16</v>
      </c>
      <c r="K59" s="468">
        <v>35</v>
      </c>
      <c r="L59" s="468">
        <f>23+8</f>
        <v>31</v>
      </c>
      <c r="M59" s="135">
        <f t="shared" si="18"/>
        <v>82</v>
      </c>
      <c r="N59" s="131"/>
      <c r="O59" s="131"/>
      <c r="P59" s="131"/>
      <c r="Q59" s="131"/>
      <c r="R59" s="306">
        <v>39</v>
      </c>
      <c r="S59" s="301">
        <v>26</v>
      </c>
      <c r="T59" s="301">
        <v>35</v>
      </c>
      <c r="U59" s="301">
        <v>15</v>
      </c>
      <c r="V59" s="301">
        <v>4</v>
      </c>
    </row>
    <row r="60" spans="1:25" s="394" customFormat="1" ht="21" customHeight="1">
      <c r="A60" s="430" t="s">
        <v>279</v>
      </c>
      <c r="B60" s="431">
        <v>37</v>
      </c>
      <c r="C60" s="432">
        <v>30</v>
      </c>
      <c r="D60" s="432">
        <v>30</v>
      </c>
      <c r="E60" s="432">
        <v>30</v>
      </c>
      <c r="F60" s="432">
        <v>30</v>
      </c>
      <c r="G60" s="432">
        <v>30</v>
      </c>
      <c r="H60" s="458" t="e">
        <f>#REF!+#REF!+#REF!+#REF!+#REF!</f>
        <v>#REF!</v>
      </c>
      <c r="I60" s="469"/>
      <c r="J60" s="458"/>
      <c r="K60" s="458"/>
      <c r="L60" s="458"/>
      <c r="M60" s="458"/>
      <c r="N60" s="458"/>
      <c r="O60" s="458"/>
      <c r="P60" s="458"/>
      <c r="Q60" s="458"/>
      <c r="R60" s="472">
        <v>85</v>
      </c>
      <c r="S60" s="473">
        <v>52</v>
      </c>
      <c r="T60" s="473">
        <v>51</v>
      </c>
      <c r="U60" s="473">
        <v>53</v>
      </c>
      <c r="V60" s="473">
        <v>15</v>
      </c>
      <c r="Y60" s="394" t="s">
        <v>280</v>
      </c>
    </row>
    <row r="61" spans="1:25" s="394" customFormat="1" ht="21" customHeight="1">
      <c r="A61" s="430" t="s">
        <v>281</v>
      </c>
      <c r="B61" s="431">
        <v>66</v>
      </c>
      <c r="C61" s="432">
        <v>30</v>
      </c>
      <c r="D61" s="432">
        <v>30</v>
      </c>
      <c r="E61" s="432">
        <v>30</v>
      </c>
      <c r="F61" s="432">
        <v>30</v>
      </c>
      <c r="G61" s="432">
        <v>30</v>
      </c>
      <c r="H61" s="458" t="e">
        <f>#REF!+#REF!+#REF!+#REF!+#REF!</f>
        <v>#REF!</v>
      </c>
      <c r="I61" s="469"/>
      <c r="J61" s="458"/>
      <c r="K61" s="458"/>
      <c r="L61" s="458"/>
      <c r="M61" s="458"/>
      <c r="N61" s="458"/>
      <c r="O61" s="458"/>
      <c r="P61" s="458"/>
      <c r="Q61" s="458"/>
      <c r="R61" s="472">
        <v>85</v>
      </c>
      <c r="S61" s="473">
        <v>52</v>
      </c>
      <c r="T61" s="473">
        <v>51</v>
      </c>
      <c r="U61" s="473">
        <v>53</v>
      </c>
      <c r="V61" s="473">
        <v>15</v>
      </c>
      <c r="Y61" s="394" t="s">
        <v>280</v>
      </c>
    </row>
    <row r="62" spans="1:25" s="394" customFormat="1" ht="21" customHeight="1">
      <c r="A62" s="430" t="s">
        <v>247</v>
      </c>
      <c r="B62" s="431">
        <v>36</v>
      </c>
      <c r="C62" s="432">
        <v>30</v>
      </c>
      <c r="D62" s="432">
        <v>30</v>
      </c>
      <c r="E62" s="432">
        <v>30</v>
      </c>
      <c r="F62" s="432">
        <v>30</v>
      </c>
      <c r="G62" s="432">
        <v>30</v>
      </c>
      <c r="H62" s="458" t="e">
        <f>#REF!+#REF!+#REF!+#REF!+#REF!</f>
        <v>#REF!</v>
      </c>
      <c r="I62" s="469"/>
      <c r="J62" s="458"/>
      <c r="K62" s="458"/>
      <c r="L62" s="458"/>
      <c r="M62" s="458"/>
      <c r="N62" s="458"/>
      <c r="O62" s="458"/>
      <c r="P62" s="458"/>
      <c r="Q62" s="458"/>
      <c r="R62" s="472"/>
      <c r="S62" s="473"/>
      <c r="T62" s="473"/>
      <c r="U62" s="473"/>
      <c r="V62" s="473"/>
      <c r="Y62" s="394" t="s">
        <v>280</v>
      </c>
    </row>
    <row r="63" spans="1:25" s="394" customFormat="1" ht="21" customHeight="1">
      <c r="A63" s="430" t="s">
        <v>248</v>
      </c>
      <c r="B63" s="431">
        <v>64</v>
      </c>
      <c r="C63" s="432">
        <v>30</v>
      </c>
      <c r="D63" s="432">
        <v>30</v>
      </c>
      <c r="E63" s="432">
        <v>30</v>
      </c>
      <c r="F63" s="432">
        <v>30</v>
      </c>
      <c r="G63" s="432">
        <v>30</v>
      </c>
      <c r="H63" s="458" t="e">
        <f>#REF!+#REF!+#REF!+#REF!+#REF!</f>
        <v>#REF!</v>
      </c>
      <c r="I63" s="469"/>
      <c r="J63" s="458"/>
      <c r="K63" s="458"/>
      <c r="L63" s="458"/>
      <c r="M63" s="458"/>
      <c r="N63" s="458"/>
      <c r="O63" s="458"/>
      <c r="P63" s="458"/>
      <c r="Q63" s="458"/>
      <c r="R63" s="472"/>
      <c r="S63" s="473"/>
      <c r="T63" s="473"/>
      <c r="U63" s="473"/>
      <c r="V63" s="473"/>
      <c r="Y63" s="394" t="s">
        <v>280</v>
      </c>
    </row>
    <row r="64" spans="1:25" s="394" customFormat="1" ht="21" customHeight="1">
      <c r="A64" s="433" t="s">
        <v>87</v>
      </c>
      <c r="B64" s="431"/>
      <c r="C64" s="432"/>
      <c r="D64" s="432"/>
      <c r="E64" s="432"/>
      <c r="F64" s="432"/>
      <c r="G64" s="432"/>
      <c r="H64" s="458" t="e">
        <f>#REF!+#REF!+#REF!+#REF!+#REF!</f>
        <v>#REF!</v>
      </c>
      <c r="I64" s="469"/>
      <c r="J64" s="458"/>
      <c r="K64" s="458"/>
      <c r="L64" s="458"/>
      <c r="M64" s="458"/>
      <c r="N64" s="458"/>
      <c r="O64" s="458"/>
      <c r="P64" s="458"/>
      <c r="Q64" s="458"/>
      <c r="R64" s="472">
        <v>85</v>
      </c>
      <c r="S64" s="473">
        <v>52</v>
      </c>
      <c r="T64" s="473">
        <v>51</v>
      </c>
      <c r="U64" s="473">
        <v>53</v>
      </c>
      <c r="V64" s="473">
        <v>15</v>
      </c>
    </row>
    <row r="65" spans="1:25" s="394" customFormat="1" ht="21" hidden="1" customHeight="1">
      <c r="A65" s="433" t="s">
        <v>88</v>
      </c>
      <c r="B65" s="431"/>
      <c r="C65" s="432"/>
      <c r="D65" s="432"/>
      <c r="E65" s="432"/>
      <c r="F65" s="432"/>
      <c r="G65" s="432"/>
      <c r="H65" s="458"/>
      <c r="I65" s="469"/>
      <c r="J65" s="458"/>
      <c r="K65" s="458"/>
      <c r="L65" s="458"/>
      <c r="M65" s="458"/>
      <c r="N65" s="458"/>
      <c r="O65" s="458"/>
      <c r="P65" s="458"/>
      <c r="Q65" s="458"/>
      <c r="R65" s="472">
        <v>36</v>
      </c>
      <c r="S65" s="473"/>
      <c r="T65" s="473"/>
      <c r="U65" s="473"/>
      <c r="V65" s="473"/>
    </row>
    <row r="66" spans="1:25" s="394" customFormat="1" ht="21" customHeight="1">
      <c r="A66" s="433" t="s">
        <v>89</v>
      </c>
      <c r="B66" s="431"/>
      <c r="C66" s="432"/>
      <c r="D66" s="432"/>
      <c r="E66" s="432"/>
      <c r="F66" s="432"/>
      <c r="G66" s="432"/>
      <c r="H66" s="458" t="e">
        <f>#REF!+#REF!+#REF!+#REF!+#REF!</f>
        <v>#REF!</v>
      </c>
      <c r="I66" s="469"/>
      <c r="J66" s="458"/>
      <c r="K66" s="458"/>
      <c r="L66" s="458"/>
      <c r="M66" s="458"/>
      <c r="N66" s="458"/>
      <c r="O66" s="458"/>
      <c r="P66" s="458"/>
      <c r="Q66" s="458"/>
      <c r="R66" s="472">
        <v>36</v>
      </c>
      <c r="S66" s="473"/>
      <c r="T66" s="473"/>
      <c r="U66" s="473"/>
      <c r="V66" s="473"/>
    </row>
    <row r="67" spans="1:25" s="394" customFormat="1" ht="21" customHeight="1">
      <c r="A67" s="433" t="s">
        <v>90</v>
      </c>
      <c r="B67" s="431"/>
      <c r="C67" s="432"/>
      <c r="D67" s="432"/>
      <c r="E67" s="432"/>
      <c r="F67" s="432"/>
      <c r="G67" s="432"/>
      <c r="H67" s="458" t="e">
        <f>#REF!+#REF!+#REF!+#REF!+#REF!</f>
        <v>#REF!</v>
      </c>
      <c r="I67" s="469"/>
      <c r="J67" s="458"/>
      <c r="K67" s="458"/>
      <c r="L67" s="458"/>
      <c r="M67" s="458"/>
      <c r="N67" s="458"/>
      <c r="O67" s="458"/>
      <c r="P67" s="458"/>
      <c r="Q67" s="458"/>
      <c r="R67" s="472">
        <v>46</v>
      </c>
      <c r="S67" s="473"/>
      <c r="T67" s="473"/>
      <c r="U67" s="473"/>
      <c r="V67" s="473"/>
    </row>
    <row r="68" spans="1:25" s="394" customFormat="1" ht="21" customHeight="1">
      <c r="A68" s="433" t="s">
        <v>91</v>
      </c>
      <c r="B68" s="431"/>
      <c r="C68" s="432"/>
      <c r="D68" s="432"/>
      <c r="E68" s="432"/>
      <c r="F68" s="432"/>
      <c r="G68" s="432"/>
      <c r="H68" s="458" t="e">
        <f>#REF!+#REF!+#REF!+#REF!+#REF!</f>
        <v>#REF!</v>
      </c>
      <c r="I68" s="469"/>
      <c r="J68" s="458"/>
      <c r="K68" s="458"/>
      <c r="L68" s="458"/>
      <c r="M68" s="458"/>
      <c r="N68" s="458"/>
      <c r="O68" s="458"/>
      <c r="P68" s="458"/>
      <c r="Q68" s="458"/>
      <c r="R68" s="472">
        <v>44</v>
      </c>
      <c r="S68" s="473"/>
      <c r="T68" s="473"/>
      <c r="U68" s="473"/>
      <c r="V68" s="473"/>
    </row>
    <row r="69" spans="1:25" s="394" customFormat="1" ht="21" customHeight="1">
      <c r="A69" s="433" t="s">
        <v>282</v>
      </c>
      <c r="B69" s="431">
        <v>73</v>
      </c>
      <c r="C69" s="432">
        <v>30</v>
      </c>
      <c r="D69" s="432">
        <v>30</v>
      </c>
      <c r="E69" s="432">
        <v>30</v>
      </c>
      <c r="F69" s="432">
        <v>30</v>
      </c>
      <c r="G69" s="432">
        <v>30</v>
      </c>
      <c r="H69" s="458" t="e">
        <f>#REF!+#REF!+#REF!+#REF!+#REF!</f>
        <v>#REF!</v>
      </c>
      <c r="I69" s="469"/>
      <c r="J69" s="458"/>
      <c r="K69" s="458"/>
      <c r="L69" s="458"/>
      <c r="M69" s="458"/>
      <c r="N69" s="458"/>
      <c r="O69" s="458"/>
      <c r="P69" s="458"/>
      <c r="Q69" s="458"/>
      <c r="R69" s="472"/>
      <c r="S69" s="473"/>
      <c r="T69" s="473"/>
      <c r="U69" s="473"/>
      <c r="V69" s="473"/>
      <c r="Y69" s="394" t="s">
        <v>280</v>
      </c>
    </row>
    <row r="70" spans="1:25" s="394" customFormat="1" ht="21" customHeight="1">
      <c r="A70" s="474" t="s">
        <v>283</v>
      </c>
      <c r="B70" s="431">
        <v>38</v>
      </c>
      <c r="C70" s="432">
        <v>30</v>
      </c>
      <c r="D70" s="432">
        <v>30</v>
      </c>
      <c r="E70" s="432">
        <v>30</v>
      </c>
      <c r="F70" s="432">
        <v>30</v>
      </c>
      <c r="G70" s="432">
        <v>30</v>
      </c>
      <c r="H70" s="458" t="e">
        <f>#REF!+#REF!+#REF!+#REF!+#REF!</f>
        <v>#REF!</v>
      </c>
      <c r="I70" s="469"/>
      <c r="J70" s="458"/>
      <c r="K70" s="458"/>
      <c r="L70" s="458"/>
      <c r="M70" s="458"/>
      <c r="N70" s="458"/>
      <c r="O70" s="458"/>
      <c r="P70" s="458"/>
      <c r="Q70" s="458"/>
      <c r="R70" s="472"/>
      <c r="S70" s="473"/>
      <c r="T70" s="473"/>
      <c r="U70" s="473"/>
      <c r="V70" s="473"/>
      <c r="Y70" s="394" t="s">
        <v>280</v>
      </c>
    </row>
    <row r="71" spans="1:25" s="394" customFormat="1" ht="21" customHeight="1">
      <c r="A71" s="433" t="s">
        <v>94</v>
      </c>
      <c r="B71" s="431"/>
      <c r="C71" s="432"/>
      <c r="D71" s="432"/>
      <c r="E71" s="432"/>
      <c r="F71" s="432"/>
      <c r="G71" s="432"/>
      <c r="H71" s="458" t="e">
        <f>#REF!+#REF!+#REF!+#REF!+#REF!</f>
        <v>#REF!</v>
      </c>
      <c r="I71" s="469"/>
      <c r="J71" s="458"/>
      <c r="K71" s="458"/>
      <c r="L71" s="458"/>
      <c r="M71" s="458"/>
      <c r="N71" s="458"/>
      <c r="O71" s="458"/>
      <c r="P71" s="458"/>
      <c r="Q71" s="458"/>
      <c r="R71" s="472">
        <v>32</v>
      </c>
      <c r="S71" s="473">
        <v>21</v>
      </c>
      <c r="T71" s="473">
        <v>17</v>
      </c>
      <c r="U71" s="473">
        <v>22</v>
      </c>
      <c r="V71" s="473">
        <v>4</v>
      </c>
    </row>
    <row r="72" spans="1:25" s="394" customFormat="1" ht="21" customHeight="1">
      <c r="A72" s="433" t="s">
        <v>284</v>
      </c>
      <c r="B72" s="431"/>
      <c r="C72" s="432"/>
      <c r="D72" s="432"/>
      <c r="E72" s="432"/>
      <c r="F72" s="432"/>
      <c r="G72" s="432"/>
      <c r="H72" s="458" t="e">
        <f>#REF!+#REF!+#REF!+#REF!+#REF!</f>
        <v>#REF!</v>
      </c>
      <c r="I72" s="469"/>
      <c r="J72" s="458"/>
      <c r="K72" s="458"/>
      <c r="L72" s="458"/>
      <c r="M72" s="458"/>
      <c r="N72" s="458"/>
      <c r="O72" s="458"/>
      <c r="P72" s="458"/>
      <c r="Q72" s="458"/>
      <c r="R72" s="472">
        <v>48</v>
      </c>
      <c r="S72" s="473">
        <v>26</v>
      </c>
      <c r="T72" s="473">
        <v>36</v>
      </c>
      <c r="U72" s="473">
        <v>37</v>
      </c>
      <c r="V72" s="473">
        <v>21</v>
      </c>
      <c r="Y72" s="394" t="s">
        <v>280</v>
      </c>
    </row>
    <row r="73" spans="1:25" s="394" customFormat="1" ht="21" customHeight="1">
      <c r="A73" s="433" t="s">
        <v>285</v>
      </c>
      <c r="B73" s="431"/>
      <c r="C73" s="432"/>
      <c r="D73" s="432"/>
      <c r="E73" s="432"/>
      <c r="F73" s="432"/>
      <c r="G73" s="432"/>
      <c r="H73" s="458" t="e">
        <f>#REF!+#REF!+#REF!+#REF!+#REF!</f>
        <v>#REF!</v>
      </c>
      <c r="I73" s="469"/>
      <c r="J73" s="458"/>
      <c r="K73" s="458"/>
      <c r="L73" s="458"/>
      <c r="M73" s="458"/>
      <c r="N73" s="458"/>
      <c r="O73" s="458"/>
      <c r="P73" s="458"/>
      <c r="Q73" s="458"/>
      <c r="R73" s="472">
        <v>48</v>
      </c>
      <c r="S73" s="473">
        <v>26</v>
      </c>
      <c r="T73" s="473">
        <v>36</v>
      </c>
      <c r="U73" s="473">
        <v>37</v>
      </c>
      <c r="V73" s="473">
        <v>21</v>
      </c>
      <c r="Y73" s="394" t="s">
        <v>280</v>
      </c>
    </row>
    <row r="74" spans="1:25" s="394" customFormat="1" ht="21" customHeight="1">
      <c r="A74" s="433" t="s">
        <v>286</v>
      </c>
      <c r="B74" s="431"/>
      <c r="C74" s="432"/>
      <c r="D74" s="432"/>
      <c r="E74" s="432"/>
      <c r="F74" s="432"/>
      <c r="G74" s="432"/>
      <c r="H74" s="458" t="e">
        <f>#REF!+#REF!+#REF!+#REF!+#REF!</f>
        <v>#REF!</v>
      </c>
      <c r="I74" s="469"/>
      <c r="J74" s="458"/>
      <c r="K74" s="458"/>
      <c r="L74" s="458"/>
      <c r="M74" s="458"/>
      <c r="N74" s="458"/>
      <c r="O74" s="458"/>
      <c r="P74" s="458"/>
      <c r="Q74" s="458"/>
      <c r="R74" s="472">
        <v>48</v>
      </c>
      <c r="S74" s="473">
        <v>26</v>
      </c>
      <c r="T74" s="473">
        <v>36</v>
      </c>
      <c r="U74" s="473">
        <v>37</v>
      </c>
      <c r="V74" s="473">
        <v>21</v>
      </c>
      <c r="Y74" s="394" t="s">
        <v>280</v>
      </c>
    </row>
    <row r="75" spans="1:25" s="394" customFormat="1" ht="21" customHeight="1">
      <c r="A75" s="440" t="s">
        <v>287</v>
      </c>
      <c r="B75" s="475"/>
      <c r="C75" s="476"/>
      <c r="D75" s="476"/>
      <c r="E75" s="476"/>
      <c r="F75" s="476"/>
      <c r="G75" s="476"/>
      <c r="H75" s="458" t="e">
        <f>#REF!+#REF!+#REF!+#REF!+#REF!</f>
        <v>#REF!</v>
      </c>
      <c r="I75" s="469"/>
      <c r="J75" s="458"/>
      <c r="K75" s="458"/>
      <c r="L75" s="458"/>
      <c r="M75" s="458"/>
      <c r="N75" s="458"/>
      <c r="O75" s="458"/>
      <c r="P75" s="458"/>
      <c r="Q75" s="458"/>
      <c r="R75" s="472">
        <v>48</v>
      </c>
      <c r="S75" s="473">
        <v>26</v>
      </c>
      <c r="T75" s="473">
        <v>36</v>
      </c>
      <c r="U75" s="473">
        <v>37</v>
      </c>
      <c r="V75" s="473">
        <v>21</v>
      </c>
      <c r="Y75" s="394" t="s">
        <v>280</v>
      </c>
    </row>
    <row r="76" spans="1:25" s="394" customFormat="1" ht="21" customHeight="1">
      <c r="A76" s="477" t="s">
        <v>96</v>
      </c>
      <c r="B76" s="455">
        <f t="shared" ref="B76:G76" si="22">SUM(B59:B75)</f>
        <v>314</v>
      </c>
      <c r="C76" s="455">
        <f t="shared" si="22"/>
        <v>180</v>
      </c>
      <c r="D76" s="455">
        <f t="shared" si="22"/>
        <v>180</v>
      </c>
      <c r="E76" s="455">
        <f t="shared" si="22"/>
        <v>180</v>
      </c>
      <c r="F76" s="455">
        <f t="shared" si="22"/>
        <v>180</v>
      </c>
      <c r="G76" s="455">
        <f t="shared" si="22"/>
        <v>180</v>
      </c>
      <c r="H76" s="478"/>
      <c r="I76" s="499"/>
      <c r="J76" s="478" t="e">
        <f>#REF!+#REF!</f>
        <v>#REF!</v>
      </c>
      <c r="K76" s="478" t="e">
        <f>#REF!+#REF!</f>
        <v>#REF!</v>
      </c>
      <c r="L76" s="478" t="e">
        <f>#REF!+#REF!</f>
        <v>#REF!</v>
      </c>
      <c r="M76" s="478" t="e">
        <f>#REF!+#REF!</f>
        <v>#REF!</v>
      </c>
      <c r="N76" s="478"/>
      <c r="O76" s="478"/>
      <c r="P76" s="478"/>
      <c r="Q76" s="478"/>
      <c r="R76" s="472">
        <f>SUM(R59:R75)</f>
        <v>680</v>
      </c>
      <c r="S76" s="473">
        <f>SUM(S59:S75)</f>
        <v>307</v>
      </c>
      <c r="T76" s="473">
        <f>SUM(T59:T75)</f>
        <v>349</v>
      </c>
      <c r="U76" s="473">
        <f>SUM(U59:U75)</f>
        <v>344</v>
      </c>
      <c r="V76" s="473">
        <f>SUM(V59:V75)</f>
        <v>137</v>
      </c>
      <c r="W76" s="472"/>
    </row>
    <row r="77" spans="1:25" s="394" customFormat="1" ht="21" hidden="1" customHeight="1">
      <c r="A77" s="456" t="s">
        <v>99</v>
      </c>
      <c r="B77" s="457"/>
      <c r="C77" s="479"/>
      <c r="D77" s="479"/>
      <c r="E77" s="479"/>
      <c r="F77" s="479"/>
      <c r="G77" s="479"/>
      <c r="H77" s="458" t="e">
        <f>#REF!+#REF!+#REF!+#REF!+#REF!</f>
        <v>#REF!</v>
      </c>
      <c r="I77" s="469"/>
      <c r="J77" s="458"/>
      <c r="K77" s="458"/>
      <c r="L77" s="458"/>
      <c r="M77" s="458"/>
      <c r="N77" s="458"/>
      <c r="O77" s="458"/>
      <c r="P77" s="458"/>
      <c r="Q77" s="458"/>
      <c r="R77" s="472"/>
      <c r="S77" s="473"/>
      <c r="T77" s="473"/>
      <c r="U77" s="473"/>
      <c r="V77" s="473"/>
    </row>
    <row r="78" spans="1:25" s="394" customFormat="1" ht="21" customHeight="1">
      <c r="A78" s="433" t="s">
        <v>288</v>
      </c>
      <c r="B78" s="431"/>
      <c r="C78" s="432">
        <v>20</v>
      </c>
      <c r="D78" s="432">
        <v>20</v>
      </c>
      <c r="E78" s="432">
        <v>20</v>
      </c>
      <c r="F78" s="432">
        <v>20</v>
      </c>
      <c r="G78" s="432">
        <v>20</v>
      </c>
      <c r="H78" s="458"/>
      <c r="I78" s="469"/>
      <c r="J78" s="458"/>
      <c r="K78" s="458"/>
      <c r="L78" s="458"/>
      <c r="M78" s="458"/>
      <c r="N78" s="458"/>
      <c r="O78" s="458"/>
      <c r="P78" s="458"/>
      <c r="Q78" s="458"/>
      <c r="R78" s="472"/>
      <c r="S78" s="473"/>
      <c r="T78" s="473"/>
      <c r="U78" s="473"/>
      <c r="V78" s="473"/>
      <c r="Y78" s="394" t="s">
        <v>278</v>
      </c>
    </row>
    <row r="79" spans="1:25" s="394" customFormat="1" ht="21" customHeight="1">
      <c r="A79" s="433" t="s">
        <v>289</v>
      </c>
      <c r="B79" s="431"/>
      <c r="C79" s="432">
        <v>20</v>
      </c>
      <c r="D79" s="432">
        <v>20</v>
      </c>
      <c r="E79" s="432">
        <v>20</v>
      </c>
      <c r="F79" s="432">
        <v>20</v>
      </c>
      <c r="G79" s="432">
        <v>20</v>
      </c>
      <c r="H79" s="458"/>
      <c r="I79" s="469"/>
      <c r="J79" s="458"/>
      <c r="K79" s="458"/>
      <c r="L79" s="458"/>
      <c r="M79" s="458"/>
      <c r="N79" s="458"/>
      <c r="O79" s="458"/>
      <c r="P79" s="458"/>
      <c r="Q79" s="458"/>
      <c r="R79" s="472"/>
      <c r="S79" s="473"/>
      <c r="T79" s="473"/>
      <c r="U79" s="473"/>
      <c r="V79" s="473"/>
    </row>
    <row r="80" spans="1:25" s="394" customFormat="1" ht="21" customHeight="1">
      <c r="A80" s="433" t="s">
        <v>290</v>
      </c>
      <c r="B80" s="431"/>
      <c r="C80" s="432">
        <v>20</v>
      </c>
      <c r="D80" s="432">
        <v>20</v>
      </c>
      <c r="E80" s="432">
        <v>20</v>
      </c>
      <c r="F80" s="432">
        <v>20</v>
      </c>
      <c r="G80" s="432">
        <v>20</v>
      </c>
      <c r="H80" s="458"/>
      <c r="I80" s="469"/>
      <c r="J80" s="458"/>
      <c r="K80" s="458"/>
      <c r="L80" s="458"/>
      <c r="M80" s="458"/>
      <c r="N80" s="458"/>
      <c r="O80" s="458"/>
      <c r="P80" s="458"/>
      <c r="Q80" s="458"/>
      <c r="R80" s="472"/>
      <c r="S80" s="473"/>
      <c r="T80" s="473"/>
      <c r="U80" s="473"/>
      <c r="V80" s="473"/>
    </row>
    <row r="81" spans="1:25" s="394" customFormat="1" ht="21" customHeight="1">
      <c r="A81" s="433" t="s">
        <v>291</v>
      </c>
      <c r="B81" s="431"/>
      <c r="C81" s="432">
        <v>20</v>
      </c>
      <c r="D81" s="432">
        <v>20</v>
      </c>
      <c r="E81" s="432">
        <v>20</v>
      </c>
      <c r="F81" s="432">
        <v>20</v>
      </c>
      <c r="G81" s="432">
        <v>20</v>
      </c>
      <c r="H81" s="458"/>
      <c r="I81" s="469"/>
      <c r="J81" s="458"/>
      <c r="K81" s="458"/>
      <c r="L81" s="458"/>
      <c r="M81" s="458"/>
      <c r="N81" s="458"/>
      <c r="O81" s="458"/>
      <c r="P81" s="458"/>
      <c r="Q81" s="458"/>
      <c r="R81" s="472"/>
      <c r="S81" s="473"/>
      <c r="T81" s="473"/>
      <c r="U81" s="473"/>
      <c r="V81" s="473"/>
    </row>
    <row r="82" spans="1:25" s="394" customFormat="1" ht="21" customHeight="1">
      <c r="A82" s="433" t="s">
        <v>292</v>
      </c>
      <c r="B82" s="431"/>
      <c r="C82" s="432">
        <v>20</v>
      </c>
      <c r="D82" s="432">
        <v>20</v>
      </c>
      <c r="E82" s="432">
        <v>20</v>
      </c>
      <c r="F82" s="432">
        <v>20</v>
      </c>
      <c r="G82" s="432">
        <v>20</v>
      </c>
      <c r="H82" s="458"/>
      <c r="I82" s="469"/>
      <c r="J82" s="458"/>
      <c r="K82" s="458"/>
      <c r="L82" s="458"/>
      <c r="M82" s="458"/>
      <c r="N82" s="458"/>
      <c r="O82" s="458"/>
      <c r="P82" s="458"/>
      <c r="Q82" s="458"/>
      <c r="R82" s="472"/>
      <c r="S82" s="473"/>
      <c r="T82" s="473"/>
      <c r="U82" s="473"/>
      <c r="V82" s="473"/>
    </row>
    <row r="83" spans="1:25" s="394" customFormat="1" ht="21" customHeight="1">
      <c r="A83" s="433" t="s">
        <v>293</v>
      </c>
      <c r="B83" s="431"/>
      <c r="C83" s="432">
        <v>20</v>
      </c>
      <c r="D83" s="432">
        <v>20</v>
      </c>
      <c r="E83" s="432">
        <v>20</v>
      </c>
      <c r="F83" s="432">
        <v>20</v>
      </c>
      <c r="G83" s="432">
        <v>20</v>
      </c>
      <c r="H83" s="458"/>
      <c r="I83" s="469"/>
      <c r="J83" s="458"/>
      <c r="K83" s="458"/>
      <c r="L83" s="458"/>
      <c r="M83" s="458"/>
      <c r="N83" s="458"/>
      <c r="O83" s="458"/>
      <c r="P83" s="458"/>
      <c r="Q83" s="458"/>
      <c r="R83" s="472"/>
      <c r="S83" s="473"/>
      <c r="T83" s="473"/>
      <c r="U83" s="473"/>
      <c r="V83" s="473"/>
    </row>
    <row r="84" spans="1:25" s="394" customFormat="1" ht="21" customHeight="1">
      <c r="A84" s="440" t="s">
        <v>294</v>
      </c>
      <c r="B84" s="475"/>
      <c r="C84" s="476"/>
      <c r="D84" s="476"/>
      <c r="E84" s="476"/>
      <c r="F84" s="476"/>
      <c r="G84" s="476"/>
      <c r="H84" s="458"/>
      <c r="I84" s="469"/>
      <c r="J84" s="458"/>
      <c r="K84" s="458"/>
      <c r="L84" s="458"/>
      <c r="M84" s="458"/>
      <c r="N84" s="458"/>
      <c r="O84" s="458"/>
      <c r="P84" s="458"/>
      <c r="Q84" s="458"/>
      <c r="R84" s="472"/>
      <c r="S84" s="473"/>
      <c r="T84" s="473"/>
      <c r="U84" s="473"/>
      <c r="V84" s="473"/>
    </row>
    <row r="85" spans="1:25" s="394" customFormat="1" ht="21" customHeight="1">
      <c r="A85" s="411" t="s">
        <v>106</v>
      </c>
      <c r="B85" s="424">
        <f t="shared" ref="B85:G85" si="23">SUM(B78:B84)</f>
        <v>0</v>
      </c>
      <c r="C85" s="424">
        <f t="shared" si="23"/>
        <v>120</v>
      </c>
      <c r="D85" s="424">
        <f t="shared" si="23"/>
        <v>120</v>
      </c>
      <c r="E85" s="424">
        <f t="shared" si="23"/>
        <v>120</v>
      </c>
      <c r="F85" s="424">
        <f t="shared" si="23"/>
        <v>120</v>
      </c>
      <c r="G85" s="424">
        <f t="shared" si="23"/>
        <v>120</v>
      </c>
      <c r="H85" s="425"/>
      <c r="I85" s="500"/>
      <c r="J85" s="425">
        <f>13+14+26+25+42</f>
        <v>120</v>
      </c>
      <c r="K85" s="425">
        <f>120+51</f>
        <v>171</v>
      </c>
      <c r="L85" s="425"/>
      <c r="M85" s="425"/>
      <c r="N85" s="425"/>
      <c r="O85" s="425"/>
      <c r="P85" s="425"/>
      <c r="Q85" s="425"/>
      <c r="R85" s="503">
        <f>SUM(R77:R77)</f>
        <v>0</v>
      </c>
      <c r="S85" s="473">
        <f>SUM(S77:S77)</f>
        <v>0</v>
      </c>
      <c r="T85" s="473">
        <f>SUM(T77:T77)</f>
        <v>0</v>
      </c>
      <c r="U85" s="473">
        <f>SUM(U77:U77)</f>
        <v>0</v>
      </c>
      <c r="V85" s="473">
        <f>SUM(V77:V77)</f>
        <v>0</v>
      </c>
    </row>
    <row r="86" spans="1:25" s="394" customFormat="1" ht="21" customHeight="1">
      <c r="A86" s="480" t="s">
        <v>295</v>
      </c>
      <c r="B86" s="481">
        <f>B87</f>
        <v>0</v>
      </c>
      <c r="C86" s="482">
        <f t="shared" ref="C86:G86" si="24">C87</f>
        <v>20</v>
      </c>
      <c r="D86" s="482">
        <f t="shared" si="24"/>
        <v>20</v>
      </c>
      <c r="E86" s="482">
        <f t="shared" si="24"/>
        <v>20</v>
      </c>
      <c r="F86" s="482">
        <f t="shared" si="24"/>
        <v>20</v>
      </c>
      <c r="G86" s="482">
        <f t="shared" si="24"/>
        <v>20</v>
      </c>
      <c r="H86" s="425"/>
      <c r="I86" s="500"/>
      <c r="J86" s="425"/>
      <c r="K86" s="425"/>
      <c r="L86" s="425"/>
      <c r="M86" s="425"/>
      <c r="N86" s="425"/>
      <c r="O86" s="425"/>
      <c r="P86" s="425"/>
      <c r="Q86" s="425"/>
      <c r="R86" s="503"/>
      <c r="S86" s="473"/>
      <c r="T86" s="473"/>
      <c r="U86" s="473"/>
      <c r="V86" s="473"/>
    </row>
    <row r="87" spans="1:25" s="394" customFormat="1" ht="21" customHeight="1">
      <c r="A87" s="406" t="s">
        <v>296</v>
      </c>
      <c r="B87" s="422">
        <v>0</v>
      </c>
      <c r="C87" s="422">
        <v>20</v>
      </c>
      <c r="D87" s="422">
        <v>20</v>
      </c>
      <c r="E87" s="422">
        <v>20</v>
      </c>
      <c r="F87" s="422">
        <v>20</v>
      </c>
      <c r="G87" s="422">
        <v>20</v>
      </c>
      <c r="H87" s="421"/>
      <c r="I87" s="501"/>
      <c r="J87" s="421"/>
      <c r="K87" s="421"/>
      <c r="L87" s="421"/>
      <c r="M87" s="421"/>
      <c r="N87" s="421"/>
      <c r="O87" s="421"/>
      <c r="P87" s="421"/>
      <c r="Q87" s="421"/>
      <c r="R87" s="503"/>
      <c r="S87" s="473"/>
      <c r="T87" s="473"/>
      <c r="U87" s="473"/>
      <c r="V87" s="473"/>
    </row>
    <row r="88" spans="1:25" s="394" customFormat="1" ht="21" customHeight="1">
      <c r="A88" s="483" t="s">
        <v>297</v>
      </c>
      <c r="B88" s="484">
        <f>B89</f>
        <v>0</v>
      </c>
      <c r="C88" s="485">
        <f t="shared" ref="C88:G88" si="25">C89</f>
        <v>5</v>
      </c>
      <c r="D88" s="485">
        <f t="shared" si="25"/>
        <v>5</v>
      </c>
      <c r="E88" s="485">
        <f t="shared" si="25"/>
        <v>5</v>
      </c>
      <c r="F88" s="485">
        <f t="shared" si="25"/>
        <v>5</v>
      </c>
      <c r="G88" s="485">
        <f t="shared" si="25"/>
        <v>5</v>
      </c>
      <c r="H88" s="425"/>
      <c r="I88" s="500"/>
      <c r="J88" s="425"/>
      <c r="K88" s="425"/>
      <c r="L88" s="425"/>
      <c r="M88" s="425"/>
      <c r="N88" s="425"/>
      <c r="O88" s="425"/>
      <c r="P88" s="425"/>
      <c r="Q88" s="425"/>
      <c r="R88" s="503"/>
      <c r="S88" s="473"/>
      <c r="T88" s="473"/>
      <c r="U88" s="473"/>
      <c r="V88" s="473"/>
    </row>
    <row r="89" spans="1:25" s="46" customFormat="1" ht="21" customHeight="1">
      <c r="A89" s="486" t="s">
        <v>298</v>
      </c>
      <c r="B89" s="487"/>
      <c r="C89" s="487">
        <v>5</v>
      </c>
      <c r="D89" s="487">
        <v>5</v>
      </c>
      <c r="E89" s="487">
        <v>5</v>
      </c>
      <c r="F89" s="487">
        <v>5</v>
      </c>
      <c r="G89" s="487">
        <v>5</v>
      </c>
      <c r="H89" s="123"/>
      <c r="I89" s="122"/>
      <c r="J89" s="123"/>
      <c r="K89" s="123"/>
      <c r="L89" s="123"/>
      <c r="M89" s="123"/>
      <c r="N89" s="123"/>
      <c r="O89" s="123"/>
      <c r="P89" s="123"/>
      <c r="Q89" s="123"/>
      <c r="R89" s="504"/>
      <c r="S89" s="310"/>
      <c r="T89" s="310"/>
      <c r="U89" s="310"/>
      <c r="V89" s="310"/>
    </row>
    <row r="90" spans="1:25" s="46" customFormat="1" ht="21" customHeight="1">
      <c r="A90" s="454" t="s">
        <v>108</v>
      </c>
      <c r="B90" s="455">
        <f t="shared" ref="B90:G90" si="26">SUM(B91:B110)</f>
        <v>385</v>
      </c>
      <c r="C90" s="488">
        <f t="shared" si="26"/>
        <v>180</v>
      </c>
      <c r="D90" s="488">
        <f t="shared" si="26"/>
        <v>180</v>
      </c>
      <c r="E90" s="488">
        <f t="shared" si="26"/>
        <v>180</v>
      </c>
      <c r="F90" s="488">
        <f t="shared" si="26"/>
        <v>180</v>
      </c>
      <c r="G90" s="488">
        <f t="shared" si="26"/>
        <v>180</v>
      </c>
      <c r="H90" s="141"/>
      <c r="I90" s="502">
        <v>862</v>
      </c>
      <c r="J90" s="141"/>
      <c r="K90" s="141"/>
      <c r="L90" s="141"/>
      <c r="M90" s="141"/>
      <c r="N90" s="141"/>
      <c r="O90" s="141"/>
      <c r="P90" s="141"/>
      <c r="Q90" s="141"/>
      <c r="T90" s="310" t="e">
        <f>#REF!</f>
        <v>#REF!</v>
      </c>
      <c r="Y90" s="46" t="s">
        <v>269</v>
      </c>
    </row>
    <row r="91" spans="1:25" s="46" customFormat="1" ht="21" hidden="1" customHeight="1">
      <c r="A91" s="433" t="s">
        <v>109</v>
      </c>
      <c r="B91" s="431"/>
      <c r="C91" s="434"/>
      <c r="D91" s="434"/>
      <c r="E91" s="434"/>
      <c r="F91" s="434"/>
      <c r="G91" s="434"/>
      <c r="H91" s="133"/>
      <c r="I91" s="132"/>
      <c r="J91" s="133"/>
      <c r="K91" s="133"/>
      <c r="L91" s="133"/>
      <c r="M91" s="133"/>
      <c r="N91" s="133"/>
      <c r="O91" s="133"/>
      <c r="P91" s="133"/>
      <c r="Q91" s="133"/>
      <c r="R91" s="470"/>
      <c r="S91" s="310"/>
      <c r="T91" s="310"/>
      <c r="U91" s="310"/>
      <c r="V91" s="310"/>
    </row>
    <row r="92" spans="1:25" s="46" customFormat="1" ht="21" hidden="1" customHeight="1">
      <c r="A92" s="433" t="s">
        <v>110</v>
      </c>
      <c r="B92" s="431"/>
      <c r="C92" s="434"/>
      <c r="D92" s="434"/>
      <c r="E92" s="434"/>
      <c r="F92" s="434"/>
      <c r="G92" s="434"/>
      <c r="H92" s="133"/>
      <c r="I92" s="132"/>
      <c r="J92" s="133"/>
      <c r="K92" s="133"/>
      <c r="L92" s="133"/>
      <c r="M92" s="133"/>
      <c r="N92" s="133"/>
      <c r="O92" s="133"/>
      <c r="P92" s="133"/>
      <c r="Q92" s="133"/>
      <c r="R92" s="470"/>
      <c r="S92" s="310"/>
      <c r="T92" s="310"/>
      <c r="U92" s="310"/>
      <c r="V92" s="310"/>
    </row>
    <row r="93" spans="1:25" s="46" customFormat="1" ht="21" hidden="1" customHeight="1">
      <c r="A93" s="433" t="s">
        <v>111</v>
      </c>
      <c r="B93" s="431"/>
      <c r="C93" s="434"/>
      <c r="D93" s="434"/>
      <c r="E93" s="434"/>
      <c r="F93" s="434"/>
      <c r="G93" s="434"/>
      <c r="H93" s="133"/>
      <c r="I93" s="132"/>
      <c r="J93" s="133"/>
      <c r="K93" s="133"/>
      <c r="L93" s="133"/>
      <c r="M93" s="133"/>
      <c r="N93" s="133"/>
      <c r="O93" s="133"/>
      <c r="P93" s="133"/>
      <c r="Q93" s="133"/>
      <c r="R93" s="470"/>
      <c r="S93" s="310"/>
      <c r="T93" s="310"/>
      <c r="U93" s="310"/>
      <c r="V93" s="310"/>
    </row>
    <row r="94" spans="1:25" s="46" customFormat="1" ht="21" hidden="1" customHeight="1">
      <c r="A94" s="433" t="s">
        <v>112</v>
      </c>
      <c r="B94" s="431"/>
      <c r="C94" s="434"/>
      <c r="D94" s="434"/>
      <c r="E94" s="434"/>
      <c r="F94" s="434"/>
      <c r="G94" s="434"/>
      <c r="H94" s="133"/>
      <c r="I94" s="132"/>
      <c r="J94" s="133"/>
      <c r="K94" s="133"/>
      <c r="L94" s="133"/>
      <c r="M94" s="133"/>
      <c r="N94" s="133"/>
      <c r="O94" s="133"/>
      <c r="P94" s="133"/>
      <c r="Q94" s="133"/>
      <c r="R94" s="470"/>
      <c r="S94" s="310"/>
      <c r="T94" s="310"/>
      <c r="U94" s="310"/>
      <c r="V94" s="310"/>
    </row>
    <row r="95" spans="1:25" s="46" customFormat="1" ht="21" hidden="1" customHeight="1">
      <c r="A95" s="433" t="s">
        <v>113</v>
      </c>
      <c r="B95" s="431"/>
      <c r="C95" s="434"/>
      <c r="D95" s="434"/>
      <c r="E95" s="434"/>
      <c r="F95" s="434"/>
      <c r="G95" s="434"/>
      <c r="H95" s="133"/>
      <c r="I95" s="132"/>
      <c r="J95" s="133"/>
      <c r="K95" s="133"/>
      <c r="L95" s="133"/>
      <c r="M95" s="133"/>
      <c r="N95" s="133"/>
      <c r="O95" s="133"/>
      <c r="P95" s="133"/>
      <c r="Q95" s="133"/>
      <c r="R95" s="470"/>
      <c r="S95" s="310"/>
      <c r="T95" s="310"/>
      <c r="U95" s="310"/>
      <c r="V95" s="310"/>
    </row>
    <row r="96" spans="1:25" s="46" customFormat="1" ht="21" hidden="1" customHeight="1">
      <c r="A96" s="433" t="s">
        <v>59</v>
      </c>
      <c r="B96" s="431"/>
      <c r="C96" s="434"/>
      <c r="D96" s="434"/>
      <c r="E96" s="434"/>
      <c r="F96" s="434"/>
      <c r="G96" s="434"/>
      <c r="H96" s="133"/>
      <c r="I96" s="132"/>
      <c r="J96" s="133"/>
      <c r="K96" s="133"/>
      <c r="L96" s="133"/>
      <c r="M96" s="133"/>
      <c r="N96" s="133"/>
      <c r="O96" s="133"/>
      <c r="P96" s="133"/>
      <c r="Q96" s="133"/>
      <c r="R96" s="470"/>
      <c r="S96" s="310"/>
      <c r="T96" s="310"/>
      <c r="U96" s="310"/>
      <c r="V96" s="310"/>
    </row>
    <row r="97" spans="1:25" s="46" customFormat="1" ht="21" hidden="1" customHeight="1">
      <c r="A97" s="433" t="s">
        <v>114</v>
      </c>
      <c r="B97" s="431"/>
      <c r="C97" s="434"/>
      <c r="D97" s="434"/>
      <c r="E97" s="434"/>
      <c r="F97" s="434"/>
      <c r="G97" s="434"/>
      <c r="H97" s="133"/>
      <c r="I97" s="132"/>
      <c r="J97" s="133"/>
      <c r="K97" s="133"/>
      <c r="L97" s="133"/>
      <c r="M97" s="133"/>
      <c r="N97" s="133"/>
      <c r="O97" s="133"/>
      <c r="P97" s="133"/>
      <c r="Q97" s="133"/>
      <c r="R97" s="470"/>
      <c r="S97" s="310"/>
      <c r="T97" s="310"/>
      <c r="U97" s="310"/>
      <c r="V97" s="310"/>
    </row>
    <row r="98" spans="1:25" s="46" customFormat="1" ht="21" hidden="1" customHeight="1">
      <c r="A98" s="489" t="s">
        <v>115</v>
      </c>
      <c r="B98" s="431"/>
      <c r="C98" s="434"/>
      <c r="D98" s="434"/>
      <c r="E98" s="434"/>
      <c r="F98" s="434"/>
      <c r="G98" s="434"/>
      <c r="H98" s="133"/>
      <c r="I98" s="132"/>
      <c r="J98" s="133"/>
      <c r="K98" s="133"/>
      <c r="L98" s="133"/>
      <c r="M98" s="133"/>
      <c r="N98" s="133"/>
      <c r="O98" s="133"/>
      <c r="P98" s="133"/>
      <c r="Q98" s="133"/>
      <c r="R98" s="470"/>
      <c r="S98" s="310"/>
      <c r="T98" s="310"/>
      <c r="U98" s="310"/>
      <c r="V98" s="310"/>
    </row>
    <row r="99" spans="1:25" s="46" customFormat="1" ht="21" hidden="1" customHeight="1">
      <c r="A99" s="489" t="s">
        <v>116</v>
      </c>
      <c r="B99" s="431"/>
      <c r="C99" s="434"/>
      <c r="D99" s="434"/>
      <c r="E99" s="434"/>
      <c r="F99" s="434"/>
      <c r="G99" s="434"/>
      <c r="H99" s="133"/>
      <c r="I99" s="132"/>
      <c r="J99" s="133"/>
      <c r="K99" s="133"/>
      <c r="L99" s="133"/>
      <c r="M99" s="133"/>
      <c r="N99" s="133"/>
      <c r="O99" s="133"/>
      <c r="P99" s="133"/>
      <c r="Q99" s="133"/>
      <c r="R99" s="470"/>
      <c r="S99" s="310"/>
      <c r="T99" s="310"/>
      <c r="U99" s="310"/>
      <c r="V99" s="310"/>
    </row>
    <row r="100" spans="1:25" s="46" customFormat="1" ht="21" hidden="1" customHeight="1">
      <c r="A100" s="489" t="s">
        <v>117</v>
      </c>
      <c r="B100" s="431"/>
      <c r="C100" s="434"/>
      <c r="D100" s="434"/>
      <c r="E100" s="434"/>
      <c r="F100" s="434"/>
      <c r="G100" s="434"/>
      <c r="H100" s="133"/>
      <c r="I100" s="132"/>
      <c r="J100" s="133"/>
      <c r="K100" s="133"/>
      <c r="L100" s="133"/>
      <c r="M100" s="133"/>
      <c r="N100" s="133"/>
      <c r="O100" s="133"/>
      <c r="P100" s="133"/>
      <c r="Q100" s="133"/>
      <c r="R100" s="470"/>
      <c r="S100" s="310"/>
      <c r="T100" s="310"/>
      <c r="U100" s="310"/>
      <c r="V100" s="310"/>
    </row>
    <row r="101" spans="1:25" s="46" customFormat="1" ht="21" hidden="1" customHeight="1">
      <c r="A101" s="489" t="s">
        <v>118</v>
      </c>
      <c r="B101" s="431"/>
      <c r="C101" s="434"/>
      <c r="D101" s="434"/>
      <c r="E101" s="434"/>
      <c r="F101" s="434"/>
      <c r="G101" s="434"/>
      <c r="H101" s="133"/>
      <c r="I101" s="132"/>
      <c r="J101" s="133"/>
      <c r="K101" s="133"/>
      <c r="L101" s="133"/>
      <c r="M101" s="133"/>
      <c r="N101" s="133"/>
      <c r="O101" s="133"/>
      <c r="P101" s="133"/>
      <c r="Q101" s="133"/>
      <c r="R101" s="470"/>
      <c r="S101" s="310"/>
      <c r="T101" s="310"/>
      <c r="U101" s="310"/>
      <c r="V101" s="310"/>
    </row>
    <row r="102" spans="1:25" s="46" customFormat="1" ht="21" customHeight="1">
      <c r="A102" s="433" t="s">
        <v>299</v>
      </c>
      <c r="B102" s="431">
        <v>136</v>
      </c>
      <c r="C102" s="434">
        <v>30</v>
      </c>
      <c r="D102" s="434">
        <v>30</v>
      </c>
      <c r="E102" s="434">
        <v>30</v>
      </c>
      <c r="F102" s="434">
        <v>30</v>
      </c>
      <c r="G102" s="434">
        <v>30</v>
      </c>
      <c r="H102" s="133" t="e">
        <f>#REF!+#REF!+#REF!+#REF!+#REF!</f>
        <v>#REF!</v>
      </c>
      <c r="I102" s="132"/>
      <c r="J102" s="133" t="e">
        <f>#REF!+#REF!+#REF!</f>
        <v>#REF!</v>
      </c>
      <c r="K102" s="133"/>
      <c r="L102" s="133"/>
      <c r="M102" s="133"/>
      <c r="N102" s="133"/>
      <c r="O102" s="133"/>
      <c r="P102" s="133"/>
      <c r="Q102" s="133"/>
      <c r="R102" s="470"/>
      <c r="S102" s="310"/>
      <c r="T102" s="310"/>
      <c r="U102" s="310"/>
      <c r="V102" s="310"/>
    </row>
    <row r="103" spans="1:25" s="46" customFormat="1" ht="21" customHeight="1">
      <c r="A103" s="433" t="s">
        <v>300</v>
      </c>
      <c r="B103" s="431">
        <v>26</v>
      </c>
      <c r="C103" s="434">
        <v>30</v>
      </c>
      <c r="D103" s="434">
        <v>30</v>
      </c>
      <c r="E103" s="434">
        <v>30</v>
      </c>
      <c r="F103" s="434">
        <v>30</v>
      </c>
      <c r="G103" s="434">
        <v>30</v>
      </c>
      <c r="H103" s="133" t="e">
        <f>#REF!+#REF!+#REF!+#REF!+#REF!</f>
        <v>#REF!</v>
      </c>
      <c r="I103" s="132"/>
      <c r="J103" s="133"/>
      <c r="K103" s="133"/>
      <c r="L103" s="133"/>
      <c r="M103" s="133"/>
      <c r="N103" s="133"/>
      <c r="O103" s="133"/>
      <c r="P103" s="133"/>
      <c r="Q103" s="133"/>
      <c r="R103" s="470"/>
      <c r="S103" s="310"/>
      <c r="T103" s="310"/>
      <c r="U103" s="310"/>
      <c r="V103" s="310"/>
    </row>
    <row r="104" spans="1:25" s="46" customFormat="1" ht="21" customHeight="1">
      <c r="A104" s="433" t="s">
        <v>301</v>
      </c>
      <c r="B104" s="431">
        <v>75</v>
      </c>
      <c r="C104" s="434">
        <v>30</v>
      </c>
      <c r="D104" s="434">
        <v>30</v>
      </c>
      <c r="E104" s="434">
        <v>30</v>
      </c>
      <c r="F104" s="434">
        <v>30</v>
      </c>
      <c r="G104" s="434">
        <v>30</v>
      </c>
      <c r="H104" s="133" t="e">
        <f>#REF!+#REF!+#REF!+#REF!+#REF!</f>
        <v>#REF!</v>
      </c>
      <c r="I104" s="132"/>
      <c r="J104" s="133"/>
      <c r="K104" s="133"/>
      <c r="L104" s="133"/>
      <c r="M104" s="133"/>
      <c r="N104" s="133"/>
      <c r="O104" s="133"/>
      <c r="P104" s="133"/>
      <c r="Q104" s="133"/>
      <c r="R104" s="470"/>
      <c r="S104" s="310"/>
      <c r="T104" s="310"/>
      <c r="U104" s="310"/>
      <c r="V104" s="310"/>
    </row>
    <row r="105" spans="1:25" s="46" customFormat="1" ht="21" customHeight="1">
      <c r="A105" s="433" t="s">
        <v>119</v>
      </c>
      <c r="B105" s="431">
        <v>22</v>
      </c>
      <c r="C105" s="434">
        <v>30</v>
      </c>
      <c r="D105" s="434">
        <v>30</v>
      </c>
      <c r="E105" s="434">
        <v>30</v>
      </c>
      <c r="F105" s="434">
        <v>30</v>
      </c>
      <c r="G105" s="434">
        <v>30</v>
      </c>
      <c r="H105" s="133" t="e">
        <f>#REF!+#REF!+#REF!+#REF!+#REF!</f>
        <v>#REF!</v>
      </c>
      <c r="I105" s="132"/>
      <c r="J105" s="133"/>
      <c r="K105" s="133"/>
      <c r="L105" s="133"/>
      <c r="M105" s="133"/>
      <c r="N105" s="133"/>
      <c r="O105" s="133"/>
      <c r="P105" s="133"/>
      <c r="Q105" s="133"/>
      <c r="R105" s="470">
        <v>38</v>
      </c>
      <c r="S105" s="310">
        <v>18</v>
      </c>
      <c r="T105" s="310">
        <v>26</v>
      </c>
      <c r="U105" s="310">
        <v>32</v>
      </c>
      <c r="V105" s="310">
        <v>2</v>
      </c>
    </row>
    <row r="106" spans="1:25" s="46" customFormat="1" ht="21" customHeight="1">
      <c r="A106" s="433" t="s">
        <v>120</v>
      </c>
      <c r="B106" s="431">
        <v>84</v>
      </c>
      <c r="C106" s="434">
        <v>30</v>
      </c>
      <c r="D106" s="434">
        <v>30</v>
      </c>
      <c r="E106" s="434">
        <v>30</v>
      </c>
      <c r="F106" s="434">
        <v>30</v>
      </c>
      <c r="G106" s="434">
        <v>30</v>
      </c>
      <c r="H106" s="133" t="e">
        <f>#REF!+#REF!+#REF!+#REF!+#REF!</f>
        <v>#REF!</v>
      </c>
      <c r="I106" s="132"/>
      <c r="J106" s="133"/>
      <c r="K106" s="133"/>
      <c r="L106" s="133"/>
      <c r="M106" s="133"/>
      <c r="N106" s="133"/>
      <c r="O106" s="133"/>
      <c r="P106" s="133"/>
      <c r="Q106" s="133"/>
      <c r="R106" s="470">
        <v>61</v>
      </c>
      <c r="S106" s="310">
        <v>34</v>
      </c>
      <c r="T106" s="310">
        <v>30</v>
      </c>
      <c r="U106" s="310">
        <v>15</v>
      </c>
      <c r="V106" s="310">
        <v>1</v>
      </c>
    </row>
    <row r="107" spans="1:25" s="46" customFormat="1" ht="21" hidden="1" customHeight="1">
      <c r="A107" s="433" t="s">
        <v>121</v>
      </c>
      <c r="B107" s="431"/>
      <c r="C107" s="434"/>
      <c r="D107" s="434"/>
      <c r="E107" s="434"/>
      <c r="F107" s="434"/>
      <c r="G107" s="434"/>
      <c r="H107" s="133"/>
      <c r="I107" s="132"/>
      <c r="J107" s="133"/>
      <c r="K107" s="133"/>
      <c r="L107" s="133"/>
      <c r="M107" s="133"/>
      <c r="N107" s="133"/>
      <c r="O107" s="133"/>
      <c r="P107" s="133"/>
      <c r="Q107" s="133"/>
      <c r="R107" s="470"/>
      <c r="S107" s="310"/>
      <c r="T107" s="310"/>
      <c r="U107" s="310"/>
      <c r="V107" s="310">
        <v>1</v>
      </c>
    </row>
    <row r="108" spans="1:25" s="46" customFormat="1" ht="21" customHeight="1">
      <c r="A108" s="440" t="s">
        <v>122</v>
      </c>
      <c r="B108" s="475">
        <v>42</v>
      </c>
      <c r="C108" s="442">
        <v>30</v>
      </c>
      <c r="D108" s="442">
        <v>30</v>
      </c>
      <c r="E108" s="442">
        <v>30</v>
      </c>
      <c r="F108" s="442">
        <v>30</v>
      </c>
      <c r="G108" s="442">
        <v>30</v>
      </c>
      <c r="H108" s="133" t="e">
        <f>#REF!+#REF!+#REF!+#REF!+#REF!</f>
        <v>#REF!</v>
      </c>
      <c r="I108" s="132"/>
      <c r="J108" s="133"/>
      <c r="K108" s="133"/>
      <c r="L108" s="133"/>
      <c r="M108" s="133"/>
      <c r="N108" s="133"/>
      <c r="O108" s="133"/>
      <c r="P108" s="133"/>
      <c r="Q108" s="133"/>
      <c r="R108" s="470">
        <v>33</v>
      </c>
      <c r="S108" s="310"/>
      <c r="T108" s="310"/>
      <c r="U108" s="310"/>
      <c r="V108" s="310"/>
    </row>
    <row r="109" spans="1:25" ht="21" hidden="1" customHeight="1">
      <c r="A109" s="456" t="s">
        <v>123</v>
      </c>
      <c r="B109" s="457"/>
      <c r="C109" s="131"/>
      <c r="D109" s="131"/>
      <c r="E109" s="131"/>
      <c r="F109" s="131"/>
      <c r="G109" s="131"/>
      <c r="H109" s="131"/>
      <c r="I109" s="130"/>
      <c r="J109" s="131"/>
      <c r="K109" s="131"/>
      <c r="L109" s="131"/>
      <c r="M109" s="131"/>
      <c r="N109" s="131"/>
      <c r="O109" s="131"/>
      <c r="P109" s="131"/>
      <c r="Q109" s="131"/>
    </row>
    <row r="110" spans="1:25" ht="21" hidden="1" customHeight="1">
      <c r="A110" s="490" t="s">
        <v>124</v>
      </c>
      <c r="B110" s="457"/>
      <c r="C110" s="131"/>
      <c r="D110" s="131"/>
      <c r="E110" s="131"/>
      <c r="F110" s="131"/>
      <c r="G110" s="131"/>
      <c r="H110" s="131"/>
      <c r="I110" s="130"/>
      <c r="J110" s="131"/>
      <c r="K110" s="131"/>
      <c r="L110" s="131"/>
      <c r="M110" s="131"/>
      <c r="N110" s="131"/>
      <c r="O110" s="131"/>
      <c r="P110" s="131"/>
      <c r="Q110" s="131"/>
    </row>
    <row r="111" spans="1:25" ht="21" hidden="1" customHeight="1">
      <c r="A111" s="416" t="s">
        <v>6</v>
      </c>
      <c r="B111" s="417"/>
      <c r="C111" s="135"/>
      <c r="D111" s="135"/>
      <c r="E111" s="135"/>
      <c r="F111" s="135"/>
      <c r="G111" s="135"/>
      <c r="H111" s="135"/>
      <c r="I111" s="134"/>
      <c r="J111" s="135"/>
      <c r="K111" s="135"/>
      <c r="L111" s="135"/>
      <c r="M111" s="135"/>
      <c r="N111" s="135"/>
      <c r="O111" s="135"/>
      <c r="P111" s="135"/>
      <c r="Q111" s="135"/>
    </row>
    <row r="112" spans="1:25" s="46" customFormat="1" ht="21" customHeight="1">
      <c r="A112" s="454" t="s">
        <v>125</v>
      </c>
      <c r="B112" s="455">
        <f t="shared" ref="B112:G112" si="27">SUM(B113:B125)</f>
        <v>1778</v>
      </c>
      <c r="C112" s="488">
        <f t="shared" si="27"/>
        <v>595</v>
      </c>
      <c r="D112" s="488">
        <f t="shared" si="27"/>
        <v>595</v>
      </c>
      <c r="E112" s="488">
        <f t="shared" si="27"/>
        <v>595</v>
      </c>
      <c r="F112" s="488">
        <f t="shared" si="27"/>
        <v>595</v>
      </c>
      <c r="G112" s="488">
        <f t="shared" si="27"/>
        <v>595</v>
      </c>
      <c r="H112" s="141"/>
      <c r="I112" s="502">
        <v>1981</v>
      </c>
      <c r="J112" s="141"/>
      <c r="K112" s="141"/>
      <c r="L112" s="141"/>
      <c r="M112" s="141"/>
      <c r="N112" s="141"/>
      <c r="O112" s="141"/>
      <c r="P112" s="141"/>
      <c r="Q112" s="141"/>
      <c r="R112" s="310">
        <f>SUM(R91:R111)</f>
        <v>132</v>
      </c>
      <c r="S112" s="310">
        <f>SUM(S91:S111)</f>
        <v>52</v>
      </c>
      <c r="T112" s="310">
        <f>SUM(T91:T111)</f>
        <v>56</v>
      </c>
      <c r="U112" s="310">
        <f>SUM(U91:U111)</f>
        <v>47</v>
      </c>
      <c r="V112" s="310">
        <f>SUM(V91:V111)</f>
        <v>4</v>
      </c>
      <c r="Y112" s="46" t="s">
        <v>269</v>
      </c>
    </row>
    <row r="113" spans="1:26" s="46" customFormat="1" ht="21" customHeight="1">
      <c r="A113" s="427" t="s">
        <v>127</v>
      </c>
      <c r="B113" s="428">
        <v>303</v>
      </c>
      <c r="C113" s="491">
        <v>100</v>
      </c>
      <c r="D113" s="491">
        <v>100</v>
      </c>
      <c r="E113" s="491">
        <v>100</v>
      </c>
      <c r="F113" s="491">
        <v>100</v>
      </c>
      <c r="G113" s="491">
        <v>100</v>
      </c>
      <c r="H113" s="133" t="e">
        <f>#REF!+#REF!+#REF!+#REF!+#REF!</f>
        <v>#REF!</v>
      </c>
      <c r="I113" s="132"/>
      <c r="J113" s="133"/>
      <c r="K113" s="133"/>
      <c r="L113" s="133"/>
      <c r="M113" s="133"/>
      <c r="N113" s="133"/>
      <c r="O113" s="133"/>
      <c r="P113" s="133"/>
      <c r="Q113" s="133"/>
      <c r="R113" s="470">
        <v>49</v>
      </c>
      <c r="S113" s="310">
        <v>47</v>
      </c>
      <c r="T113" s="310">
        <v>46</v>
      </c>
      <c r="U113" s="310">
        <v>40</v>
      </c>
      <c r="V113" s="310">
        <v>7</v>
      </c>
    </row>
    <row r="114" spans="1:26" s="46" customFormat="1" ht="21" customHeight="1">
      <c r="A114" s="433" t="s">
        <v>128</v>
      </c>
      <c r="B114" s="431">
        <v>125</v>
      </c>
      <c r="C114" s="434">
        <v>40</v>
      </c>
      <c r="D114" s="434">
        <v>40</v>
      </c>
      <c r="E114" s="434">
        <v>40</v>
      </c>
      <c r="F114" s="434">
        <v>40</v>
      </c>
      <c r="G114" s="434">
        <v>40</v>
      </c>
      <c r="H114" s="133" t="e">
        <f>#REF!+#REF!+#REF!+#REF!+#REF!</f>
        <v>#REF!</v>
      </c>
      <c r="I114" s="132"/>
      <c r="J114" s="133"/>
      <c r="K114" s="133"/>
      <c r="L114" s="133"/>
      <c r="M114" s="133"/>
      <c r="N114" s="133"/>
      <c r="O114" s="133"/>
      <c r="P114" s="133"/>
      <c r="Q114" s="133"/>
      <c r="R114" s="470">
        <v>49</v>
      </c>
      <c r="S114" s="310">
        <v>47</v>
      </c>
      <c r="T114" s="310">
        <v>46</v>
      </c>
      <c r="U114" s="310">
        <v>40</v>
      </c>
      <c r="V114" s="310">
        <v>7</v>
      </c>
    </row>
    <row r="115" spans="1:26" s="46" customFormat="1" ht="21" customHeight="1">
      <c r="A115" s="433" t="s">
        <v>129</v>
      </c>
      <c r="B115" s="431">
        <v>173</v>
      </c>
      <c r="C115" s="434">
        <v>50</v>
      </c>
      <c r="D115" s="434">
        <v>50</v>
      </c>
      <c r="E115" s="434">
        <v>50</v>
      </c>
      <c r="F115" s="434">
        <v>50</v>
      </c>
      <c r="G115" s="434">
        <v>50</v>
      </c>
      <c r="H115" s="133" t="e">
        <f>#REF!+#REF!+#REF!+#REF!+#REF!</f>
        <v>#REF!</v>
      </c>
      <c r="I115" s="132"/>
      <c r="J115" s="133"/>
      <c r="K115" s="133"/>
      <c r="L115" s="133"/>
      <c r="M115" s="133"/>
      <c r="N115" s="133"/>
      <c r="O115" s="133"/>
      <c r="P115" s="133"/>
      <c r="Q115" s="133"/>
      <c r="R115" s="470">
        <v>40</v>
      </c>
      <c r="S115" s="310">
        <v>38</v>
      </c>
      <c r="T115" s="310">
        <v>61</v>
      </c>
      <c r="U115" s="310">
        <v>38</v>
      </c>
      <c r="V115" s="310"/>
    </row>
    <row r="116" spans="1:26" s="46" customFormat="1" ht="21" customHeight="1">
      <c r="A116" s="433" t="s">
        <v>302</v>
      </c>
      <c r="B116" s="431">
        <v>202</v>
      </c>
      <c r="C116" s="434">
        <v>55</v>
      </c>
      <c r="D116" s="434">
        <v>55</v>
      </c>
      <c r="E116" s="434">
        <v>55</v>
      </c>
      <c r="F116" s="434">
        <v>55</v>
      </c>
      <c r="G116" s="434">
        <v>55</v>
      </c>
      <c r="H116" s="133" t="e">
        <f>#REF!+#REF!+#REF!+#REF!+#REF!</f>
        <v>#REF!</v>
      </c>
      <c r="I116" s="132"/>
      <c r="J116" s="133"/>
      <c r="K116" s="133"/>
      <c r="L116" s="133"/>
      <c r="M116" s="133"/>
      <c r="N116" s="133"/>
      <c r="O116" s="133"/>
      <c r="P116" s="133"/>
      <c r="Q116" s="133"/>
      <c r="R116" s="470">
        <v>49</v>
      </c>
      <c r="S116" s="310"/>
      <c r="T116" s="310">
        <v>42</v>
      </c>
      <c r="U116" s="310"/>
      <c r="V116" s="310">
        <v>2</v>
      </c>
    </row>
    <row r="117" spans="1:26" s="46" customFormat="1" ht="21" customHeight="1">
      <c r="A117" s="433" t="s">
        <v>131</v>
      </c>
      <c r="B117" s="431">
        <v>84</v>
      </c>
      <c r="C117" s="434">
        <v>30</v>
      </c>
      <c r="D117" s="434">
        <v>30</v>
      </c>
      <c r="E117" s="434">
        <v>30</v>
      </c>
      <c r="F117" s="434">
        <v>30</v>
      </c>
      <c r="G117" s="434">
        <v>30</v>
      </c>
      <c r="H117" s="133" t="e">
        <f>#REF!+#REF!+#REF!+#REF!+#REF!</f>
        <v>#REF!</v>
      </c>
      <c r="I117" s="132"/>
      <c r="J117" s="133"/>
      <c r="K117" s="133"/>
      <c r="L117" s="133"/>
      <c r="M117" s="133"/>
      <c r="N117" s="133"/>
      <c r="O117" s="133"/>
      <c r="P117" s="133"/>
      <c r="Q117" s="133"/>
      <c r="R117" s="470">
        <v>104</v>
      </c>
      <c r="S117" s="310">
        <v>41</v>
      </c>
      <c r="T117" s="310">
        <v>47</v>
      </c>
      <c r="U117" s="310">
        <v>36</v>
      </c>
      <c r="V117" s="310">
        <v>11</v>
      </c>
    </row>
    <row r="118" spans="1:26" s="46" customFormat="1" ht="21" customHeight="1">
      <c r="A118" s="433" t="s">
        <v>303</v>
      </c>
      <c r="B118" s="431">
        <v>74</v>
      </c>
      <c r="C118" s="434">
        <v>30</v>
      </c>
      <c r="D118" s="434">
        <v>30</v>
      </c>
      <c r="E118" s="434">
        <v>30</v>
      </c>
      <c r="F118" s="434">
        <v>30</v>
      </c>
      <c r="G118" s="434">
        <v>30</v>
      </c>
      <c r="H118" s="133" t="e">
        <f>#REF!+#REF!+#REF!+#REF!+#REF!</f>
        <v>#REF!</v>
      </c>
      <c r="I118" s="132"/>
      <c r="J118" s="133"/>
      <c r="K118" s="133"/>
      <c r="L118" s="133"/>
      <c r="M118" s="133"/>
      <c r="N118" s="133"/>
      <c r="O118" s="133"/>
      <c r="P118" s="133"/>
      <c r="Q118" s="133"/>
      <c r="R118" s="470">
        <v>44</v>
      </c>
      <c r="S118" s="310">
        <v>28</v>
      </c>
      <c r="T118" s="310">
        <v>23</v>
      </c>
      <c r="U118" s="310">
        <v>21</v>
      </c>
      <c r="V118" s="310"/>
    </row>
    <row r="119" spans="1:26" s="46" customFormat="1" ht="21" customHeight="1">
      <c r="A119" s="433" t="s">
        <v>304</v>
      </c>
      <c r="B119" s="492">
        <v>0</v>
      </c>
      <c r="C119" s="434">
        <v>40</v>
      </c>
      <c r="D119" s="434">
        <v>40</v>
      </c>
      <c r="E119" s="434">
        <v>40</v>
      </c>
      <c r="F119" s="434">
        <v>40</v>
      </c>
      <c r="G119" s="434">
        <v>40</v>
      </c>
      <c r="H119" s="133" t="e">
        <f>#REF!+#REF!+#REF!+#REF!+#REF!</f>
        <v>#REF!</v>
      </c>
      <c r="I119" s="132"/>
      <c r="J119" s="133"/>
      <c r="K119" s="133"/>
      <c r="L119" s="133"/>
      <c r="M119" s="133"/>
      <c r="N119" s="133"/>
      <c r="O119" s="133"/>
      <c r="P119" s="133"/>
      <c r="Q119" s="133"/>
      <c r="R119" s="470"/>
      <c r="S119" s="310">
        <v>33</v>
      </c>
      <c r="T119" s="310">
        <v>41</v>
      </c>
      <c r="U119" s="310">
        <v>36</v>
      </c>
      <c r="V119" s="310">
        <v>3</v>
      </c>
    </row>
    <row r="120" spans="1:26" s="46" customFormat="1" ht="21" customHeight="1">
      <c r="A120" s="433" t="s">
        <v>134</v>
      </c>
      <c r="B120" s="431">
        <v>53</v>
      </c>
      <c r="C120" s="434">
        <v>0</v>
      </c>
      <c r="D120" s="434">
        <v>0</v>
      </c>
      <c r="E120" s="434">
        <v>0</v>
      </c>
      <c r="F120" s="434">
        <v>0</v>
      </c>
      <c r="G120" s="434">
        <v>0</v>
      </c>
      <c r="H120" s="133" t="e">
        <f>#REF!+#REF!+#REF!+#REF!+#REF!</f>
        <v>#REF!</v>
      </c>
      <c r="I120" s="132" t="s">
        <v>135</v>
      </c>
      <c r="J120" s="133"/>
      <c r="K120" s="133"/>
      <c r="L120" s="133"/>
      <c r="M120" s="133"/>
      <c r="N120" s="133"/>
      <c r="O120" s="133"/>
      <c r="P120" s="133"/>
      <c r="Q120" s="133"/>
      <c r="R120" s="470"/>
      <c r="S120" s="310">
        <v>22</v>
      </c>
      <c r="T120" s="310">
        <v>30</v>
      </c>
      <c r="U120" s="310">
        <v>9</v>
      </c>
      <c r="V120" s="310"/>
    </row>
    <row r="121" spans="1:26" s="46" customFormat="1" ht="21" customHeight="1">
      <c r="A121" s="493" t="s">
        <v>305</v>
      </c>
      <c r="B121" s="494">
        <v>0</v>
      </c>
      <c r="C121" s="495">
        <v>30</v>
      </c>
      <c r="D121" s="495">
        <v>30</v>
      </c>
      <c r="E121" s="495">
        <v>30</v>
      </c>
      <c r="F121" s="495">
        <v>30</v>
      </c>
      <c r="G121" s="495">
        <v>30</v>
      </c>
      <c r="H121" s="133" t="e">
        <f>#REF!+#REF!+#REF!+#REF!+#REF!</f>
        <v>#REF!</v>
      </c>
      <c r="I121" s="132" t="s">
        <v>135</v>
      </c>
      <c r="J121" s="133"/>
      <c r="K121" s="133"/>
      <c r="L121" s="133"/>
      <c r="M121" s="133"/>
      <c r="N121" s="133"/>
      <c r="O121" s="133"/>
      <c r="P121" s="133"/>
      <c r="Q121" s="133"/>
      <c r="R121" s="470"/>
      <c r="S121" s="310">
        <v>22</v>
      </c>
      <c r="T121" s="310">
        <v>30</v>
      </c>
      <c r="U121" s="310">
        <v>9</v>
      </c>
      <c r="V121" s="310"/>
    </row>
    <row r="122" spans="1:26" s="46" customFormat="1" ht="21" customHeight="1">
      <c r="A122" s="433" t="s">
        <v>306</v>
      </c>
      <c r="B122" s="431">
        <v>343</v>
      </c>
      <c r="C122" s="434">
        <v>90</v>
      </c>
      <c r="D122" s="434">
        <v>90</v>
      </c>
      <c r="E122" s="434">
        <v>90</v>
      </c>
      <c r="F122" s="434">
        <v>90</v>
      </c>
      <c r="G122" s="434">
        <v>90</v>
      </c>
      <c r="H122" s="133" t="e">
        <f>#REF!+#REF!+#REF!+#REF!+#REF!</f>
        <v>#REF!</v>
      </c>
      <c r="I122" s="132"/>
      <c r="J122" s="133"/>
      <c r="K122" s="133"/>
      <c r="L122" s="133"/>
      <c r="M122" s="133"/>
      <c r="N122" s="133"/>
      <c r="O122" s="133"/>
      <c r="P122" s="133"/>
      <c r="Q122" s="133"/>
      <c r="R122" s="470">
        <v>82</v>
      </c>
      <c r="S122" s="310"/>
      <c r="T122" s="310"/>
      <c r="U122" s="310"/>
      <c r="V122" s="310"/>
    </row>
    <row r="123" spans="1:26" s="46" customFormat="1" ht="21" customHeight="1">
      <c r="A123" s="433" t="s">
        <v>137</v>
      </c>
      <c r="B123" s="431" t="s">
        <v>8</v>
      </c>
      <c r="C123" s="434">
        <v>0</v>
      </c>
      <c r="D123" s="434">
        <v>0</v>
      </c>
      <c r="E123" s="434">
        <v>0</v>
      </c>
      <c r="F123" s="434">
        <v>0</v>
      </c>
      <c r="G123" s="434">
        <v>0</v>
      </c>
      <c r="H123" s="133" t="e">
        <f>#REF!+#REF!+#REF!+#REF!+#REF!</f>
        <v>#REF!</v>
      </c>
      <c r="I123" s="132"/>
      <c r="J123" s="133"/>
      <c r="K123" s="133"/>
      <c r="L123" s="133"/>
      <c r="M123" s="133"/>
      <c r="N123" s="133"/>
      <c r="O123" s="133"/>
      <c r="P123" s="133"/>
      <c r="Q123" s="133"/>
      <c r="R123" s="470">
        <v>82</v>
      </c>
      <c r="S123" s="310"/>
      <c r="T123" s="310"/>
      <c r="U123" s="310"/>
      <c r="V123" s="310"/>
    </row>
    <row r="124" spans="1:26" s="46" customFormat="1" ht="21" customHeight="1">
      <c r="A124" s="490" t="s">
        <v>138</v>
      </c>
      <c r="B124" s="496">
        <v>338</v>
      </c>
      <c r="C124" s="497">
        <v>80</v>
      </c>
      <c r="D124" s="497">
        <v>80</v>
      </c>
      <c r="E124" s="497">
        <v>80</v>
      </c>
      <c r="F124" s="497">
        <v>80</v>
      </c>
      <c r="G124" s="497">
        <v>80</v>
      </c>
      <c r="H124" s="133" t="e">
        <f>#REF!+#REF!+#REF!+#REF!+#REF!</f>
        <v>#REF!</v>
      </c>
      <c r="I124" s="132"/>
      <c r="J124" s="133"/>
      <c r="K124" s="133"/>
      <c r="L124" s="133"/>
      <c r="M124" s="133"/>
      <c r="N124" s="133"/>
      <c r="O124" s="133"/>
      <c r="P124" s="133"/>
      <c r="Q124" s="133"/>
      <c r="R124" s="470">
        <v>97</v>
      </c>
      <c r="S124" s="310">
        <v>49</v>
      </c>
      <c r="T124" s="310">
        <v>43</v>
      </c>
      <c r="U124" s="310">
        <v>52</v>
      </c>
      <c r="V124" s="310">
        <v>5</v>
      </c>
    </row>
    <row r="125" spans="1:26" s="46" customFormat="1" ht="21" customHeight="1">
      <c r="A125" s="490" t="s">
        <v>307</v>
      </c>
      <c r="B125" s="496">
        <v>83</v>
      </c>
      <c r="C125" s="497">
        <v>50</v>
      </c>
      <c r="D125" s="497">
        <v>50</v>
      </c>
      <c r="E125" s="497">
        <v>50</v>
      </c>
      <c r="F125" s="497">
        <v>50</v>
      </c>
      <c r="G125" s="497">
        <v>50</v>
      </c>
      <c r="H125" s="133" t="e">
        <f>#REF!+#REF!+#REF!+#REF!+#REF!</f>
        <v>#REF!</v>
      </c>
      <c r="I125" s="132"/>
      <c r="J125" s="133"/>
      <c r="K125" s="133"/>
      <c r="L125" s="133"/>
      <c r="M125" s="133"/>
      <c r="N125" s="133"/>
      <c r="O125" s="133"/>
      <c r="P125" s="133"/>
      <c r="Q125" s="133"/>
      <c r="R125" s="470">
        <v>97</v>
      </c>
      <c r="S125" s="310">
        <v>49</v>
      </c>
      <c r="T125" s="310">
        <v>43</v>
      </c>
      <c r="U125" s="310">
        <v>52</v>
      </c>
      <c r="V125" s="310">
        <v>5</v>
      </c>
    </row>
    <row r="126" spans="1:26" s="46" customFormat="1" ht="21" customHeight="1">
      <c r="A126" s="411" t="s">
        <v>6</v>
      </c>
      <c r="B126" s="424">
        <f t="shared" ref="B126:G126" si="28">SUM(B113:B125)</f>
        <v>1778</v>
      </c>
      <c r="C126" s="49">
        <f t="shared" si="28"/>
        <v>595</v>
      </c>
      <c r="D126" s="49">
        <f t="shared" si="28"/>
        <v>595</v>
      </c>
      <c r="E126" s="49">
        <f t="shared" si="28"/>
        <v>595</v>
      </c>
      <c r="F126" s="49">
        <f t="shared" si="28"/>
        <v>595</v>
      </c>
      <c r="G126" s="49">
        <f t="shared" si="28"/>
        <v>595</v>
      </c>
      <c r="H126" s="121"/>
      <c r="I126" s="120"/>
      <c r="J126" s="121">
        <f>37+11+5+6</f>
        <v>59</v>
      </c>
      <c r="K126" s="121"/>
      <c r="L126" s="121"/>
      <c r="M126" s="121"/>
      <c r="N126" s="121"/>
      <c r="O126" s="121"/>
      <c r="P126" s="121"/>
      <c r="Q126" s="121"/>
      <c r="R126" s="470">
        <f>SUM(R113:R125)</f>
        <v>693</v>
      </c>
      <c r="S126" s="310">
        <f>SUM(S113:S125)</f>
        <v>376</v>
      </c>
      <c r="T126" s="310">
        <f>SUM(T113:T125)</f>
        <v>452</v>
      </c>
      <c r="U126" s="310">
        <f>SUM(U113:U125)</f>
        <v>333</v>
      </c>
      <c r="V126" s="310">
        <f>SUM(V113:V125)</f>
        <v>40</v>
      </c>
      <c r="Y126" s="46">
        <f>555+30</f>
        <v>585</v>
      </c>
      <c r="Z126" s="46">
        <f>595-30</f>
        <v>565</v>
      </c>
    </row>
    <row r="127" spans="1:26" s="46" customFormat="1" ht="21" customHeight="1">
      <c r="A127" s="454" t="s">
        <v>139</v>
      </c>
      <c r="B127" s="498"/>
      <c r="C127" s="488"/>
      <c r="D127" s="488"/>
      <c r="E127" s="488"/>
      <c r="F127" s="488"/>
      <c r="G127" s="488"/>
      <c r="H127" s="141"/>
      <c r="I127" s="502">
        <v>2215</v>
      </c>
      <c r="J127" s="141"/>
      <c r="K127" s="141"/>
      <c r="L127" s="141"/>
      <c r="M127" s="141"/>
      <c r="N127" s="141"/>
      <c r="O127" s="141"/>
      <c r="P127" s="141"/>
      <c r="Q127" s="141"/>
      <c r="T127" s="310"/>
      <c r="Y127" s="45" t="s">
        <v>308</v>
      </c>
    </row>
    <row r="128" spans="1:26" s="46" customFormat="1" ht="21" customHeight="1">
      <c r="A128" s="427" t="s">
        <v>140</v>
      </c>
      <c r="B128" s="428">
        <v>151</v>
      </c>
      <c r="C128" s="429">
        <v>40</v>
      </c>
      <c r="D128" s="429">
        <v>40</v>
      </c>
      <c r="E128" s="429">
        <v>40</v>
      </c>
      <c r="F128" s="429">
        <v>40</v>
      </c>
      <c r="G128" s="429">
        <v>40</v>
      </c>
      <c r="H128" s="133" t="e">
        <f>#REF!+#REF!+#REF!+#REF!+#REF!</f>
        <v>#REF!</v>
      </c>
      <c r="I128" s="132"/>
      <c r="J128" s="133"/>
      <c r="K128" s="133"/>
      <c r="L128" s="133"/>
      <c r="M128" s="133"/>
      <c r="N128" s="133"/>
      <c r="O128" s="133"/>
      <c r="P128" s="133"/>
      <c r="Q128" s="133"/>
      <c r="R128" s="470">
        <v>47</v>
      </c>
      <c r="S128" s="310">
        <v>23</v>
      </c>
      <c r="T128" s="310">
        <v>27</v>
      </c>
      <c r="U128" s="310">
        <v>17</v>
      </c>
      <c r="V128" s="310"/>
    </row>
    <row r="129" spans="1:26" s="46" customFormat="1" ht="21" customHeight="1">
      <c r="A129" s="433" t="s">
        <v>141</v>
      </c>
      <c r="B129" s="431" t="s">
        <v>8</v>
      </c>
      <c r="C129" s="432">
        <v>0</v>
      </c>
      <c r="D129" s="432">
        <v>0</v>
      </c>
      <c r="E129" s="432">
        <v>0</v>
      </c>
      <c r="F129" s="432">
        <v>0</v>
      </c>
      <c r="G129" s="432">
        <v>0</v>
      </c>
      <c r="H129" s="133" t="e">
        <f>#REF!+#REF!+#REF!+#REF!+#REF!</f>
        <v>#REF!</v>
      </c>
      <c r="I129" s="132"/>
      <c r="J129" s="133"/>
      <c r="K129" s="133"/>
      <c r="L129" s="133"/>
      <c r="M129" s="133"/>
      <c r="N129" s="133"/>
      <c r="O129" s="133"/>
      <c r="P129" s="133"/>
      <c r="Q129" s="133"/>
      <c r="R129" s="470">
        <v>47</v>
      </c>
      <c r="S129" s="310">
        <v>23</v>
      </c>
      <c r="T129" s="310">
        <v>27</v>
      </c>
      <c r="U129" s="310">
        <v>17</v>
      </c>
      <c r="V129" s="310"/>
    </row>
    <row r="130" spans="1:26" s="45" customFormat="1" ht="21" customHeight="1">
      <c r="A130" s="493" t="s">
        <v>142</v>
      </c>
      <c r="B130" s="494">
        <v>496</v>
      </c>
      <c r="C130" s="495">
        <v>100</v>
      </c>
      <c r="D130" s="495">
        <v>100</v>
      </c>
      <c r="E130" s="495">
        <v>100</v>
      </c>
      <c r="F130" s="495">
        <v>100</v>
      </c>
      <c r="G130" s="495">
        <v>100</v>
      </c>
      <c r="H130" s="141" t="e">
        <f>#REF!+#REF!+#REF!+#REF!+#REF!</f>
        <v>#REF!</v>
      </c>
      <c r="I130" s="502"/>
      <c r="J130" s="141"/>
      <c r="K130" s="141"/>
      <c r="L130" s="141"/>
      <c r="M130" s="141"/>
      <c r="N130" s="141"/>
      <c r="O130" s="141"/>
      <c r="P130" s="141"/>
      <c r="Q130" s="141"/>
      <c r="R130" s="388">
        <v>228</v>
      </c>
      <c r="S130" s="311">
        <v>110</v>
      </c>
      <c r="T130" s="311">
        <v>123</v>
      </c>
      <c r="U130" s="311">
        <v>93</v>
      </c>
      <c r="V130" s="311"/>
      <c r="Y130" s="45" t="s">
        <v>309</v>
      </c>
    </row>
    <row r="131" spans="1:26" s="46" customFormat="1" ht="21" customHeight="1">
      <c r="A131" s="433" t="s">
        <v>252</v>
      </c>
      <c r="B131" s="431">
        <v>93</v>
      </c>
      <c r="C131" s="432">
        <v>30</v>
      </c>
      <c r="D131" s="432">
        <v>30</v>
      </c>
      <c r="E131" s="432">
        <v>30</v>
      </c>
      <c r="F131" s="432">
        <v>30</v>
      </c>
      <c r="G131" s="432">
        <v>30</v>
      </c>
      <c r="H131" s="133" t="e">
        <f>#REF!+#REF!+#REF!+#REF!+#REF!</f>
        <v>#REF!</v>
      </c>
      <c r="I131" s="132"/>
      <c r="J131" s="133"/>
      <c r="K131" s="133"/>
      <c r="L131" s="133"/>
      <c r="M131" s="133"/>
      <c r="N131" s="133"/>
      <c r="O131" s="133"/>
      <c r="P131" s="133"/>
      <c r="Q131" s="133"/>
      <c r="R131" s="470">
        <v>55</v>
      </c>
      <c r="S131" s="310">
        <v>51</v>
      </c>
      <c r="T131" s="310">
        <v>30</v>
      </c>
      <c r="U131" s="310">
        <v>22</v>
      </c>
      <c r="V131" s="310">
        <v>10</v>
      </c>
    </row>
    <row r="132" spans="1:26" s="46" customFormat="1" ht="21" customHeight="1">
      <c r="A132" s="433" t="s">
        <v>310</v>
      </c>
      <c r="B132" s="431">
        <v>39</v>
      </c>
      <c r="C132" s="432">
        <v>40</v>
      </c>
      <c r="D132" s="432">
        <v>40</v>
      </c>
      <c r="E132" s="432">
        <v>40</v>
      </c>
      <c r="F132" s="432">
        <v>40</v>
      </c>
      <c r="G132" s="432">
        <v>40</v>
      </c>
      <c r="H132" s="133" t="e">
        <f>#REF!+#REF!+#REF!+#REF!+#REF!</f>
        <v>#REF!</v>
      </c>
      <c r="I132" s="132"/>
      <c r="J132" s="133"/>
      <c r="K132" s="133"/>
      <c r="L132" s="133"/>
      <c r="M132" s="133"/>
      <c r="N132" s="133"/>
      <c r="O132" s="133"/>
      <c r="P132" s="133"/>
      <c r="Q132" s="133"/>
      <c r="R132" s="470">
        <v>55</v>
      </c>
      <c r="S132" s="310">
        <v>51</v>
      </c>
      <c r="T132" s="310">
        <v>30</v>
      </c>
      <c r="U132" s="310">
        <v>22</v>
      </c>
      <c r="V132" s="310">
        <v>10</v>
      </c>
    </row>
    <row r="133" spans="1:26" s="46" customFormat="1" ht="21" customHeight="1">
      <c r="A133" s="433" t="s">
        <v>311</v>
      </c>
      <c r="B133" s="431">
        <v>29</v>
      </c>
      <c r="C133" s="432">
        <v>30</v>
      </c>
      <c r="D133" s="432">
        <v>30</v>
      </c>
      <c r="E133" s="432">
        <v>30</v>
      </c>
      <c r="F133" s="432">
        <v>30</v>
      </c>
      <c r="G133" s="432">
        <v>30</v>
      </c>
      <c r="H133" s="133" t="e">
        <f>#REF!+#REF!+#REF!+#REF!+#REF!</f>
        <v>#REF!</v>
      </c>
      <c r="I133" s="132"/>
      <c r="J133" s="133"/>
      <c r="K133" s="133"/>
      <c r="L133" s="133"/>
      <c r="M133" s="133"/>
      <c r="N133" s="133"/>
      <c r="O133" s="133"/>
      <c r="P133" s="133"/>
      <c r="Q133" s="133"/>
      <c r="R133" s="470">
        <v>91</v>
      </c>
      <c r="S133" s="310">
        <v>72</v>
      </c>
      <c r="T133" s="310">
        <v>42</v>
      </c>
      <c r="U133" s="310">
        <v>50</v>
      </c>
      <c r="V133" s="310">
        <v>7</v>
      </c>
    </row>
    <row r="134" spans="1:26" s="46" customFormat="1" ht="21" hidden="1" customHeight="1">
      <c r="A134" s="433" t="s">
        <v>145</v>
      </c>
      <c r="B134" s="431"/>
      <c r="C134" s="432">
        <v>0</v>
      </c>
      <c r="D134" s="432">
        <v>0</v>
      </c>
      <c r="E134" s="432">
        <v>0</v>
      </c>
      <c r="F134" s="432">
        <v>0</v>
      </c>
      <c r="G134" s="432">
        <v>0</v>
      </c>
      <c r="H134" s="133" t="e">
        <f>#REF!+#REF!+#REF!+#REF!+#REF!</f>
        <v>#REF!</v>
      </c>
      <c r="I134" s="132"/>
      <c r="J134" s="133"/>
      <c r="K134" s="133"/>
      <c r="L134" s="133"/>
      <c r="M134" s="133"/>
      <c r="N134" s="133"/>
      <c r="O134" s="133"/>
      <c r="P134" s="133"/>
      <c r="Q134" s="133"/>
      <c r="R134" s="470">
        <v>48</v>
      </c>
      <c r="S134" s="310">
        <v>41</v>
      </c>
      <c r="T134" s="310">
        <v>24</v>
      </c>
      <c r="U134" s="310">
        <v>21</v>
      </c>
      <c r="V134" s="310">
        <v>13</v>
      </c>
    </row>
    <row r="135" spans="1:26" s="46" customFormat="1" ht="21" hidden="1" customHeight="1">
      <c r="A135" s="433" t="s">
        <v>146</v>
      </c>
      <c r="B135" s="431"/>
      <c r="C135" s="432"/>
      <c r="D135" s="432"/>
      <c r="E135" s="432"/>
      <c r="F135" s="432"/>
      <c r="G135" s="432"/>
      <c r="H135" s="133" t="e">
        <f>#REF!+#REF!+#REF!+#REF!+#REF!</f>
        <v>#REF!</v>
      </c>
      <c r="I135" s="132"/>
      <c r="J135" s="133"/>
      <c r="K135" s="133"/>
      <c r="L135" s="133"/>
      <c r="M135" s="133"/>
      <c r="N135" s="133"/>
      <c r="O135" s="133"/>
      <c r="P135" s="133"/>
      <c r="Q135" s="133"/>
      <c r="R135" s="470"/>
      <c r="S135" s="310"/>
      <c r="T135" s="310"/>
      <c r="U135" s="310"/>
      <c r="V135" s="310"/>
    </row>
    <row r="136" spans="1:26" s="46" customFormat="1" ht="21" hidden="1" customHeight="1">
      <c r="A136" s="433" t="s">
        <v>147</v>
      </c>
      <c r="B136" s="431"/>
      <c r="C136" s="432">
        <v>0</v>
      </c>
      <c r="D136" s="432">
        <v>0</v>
      </c>
      <c r="E136" s="432">
        <v>0</v>
      </c>
      <c r="F136" s="432">
        <v>0</v>
      </c>
      <c r="G136" s="432">
        <v>0</v>
      </c>
      <c r="H136" s="133" t="e">
        <f>#REF!+#REF!+#REF!+#REF!+#REF!</f>
        <v>#REF!</v>
      </c>
      <c r="I136" s="132" t="e">
        <f>#REF!+#REF!</f>
        <v>#REF!</v>
      </c>
      <c r="J136" s="133" t="e">
        <f>#REF!+#REF!</f>
        <v>#REF!</v>
      </c>
      <c r="K136" s="133" t="e">
        <f>#REF!+#REF!</f>
        <v>#REF!</v>
      </c>
      <c r="L136" s="133" t="e">
        <f>#REF!+#REF!</f>
        <v>#REF!</v>
      </c>
      <c r="M136" s="133" t="e">
        <f>H136+H144</f>
        <v>#REF!</v>
      </c>
      <c r="N136" s="133"/>
      <c r="O136" s="133"/>
      <c r="P136" s="133"/>
      <c r="Q136" s="133"/>
      <c r="R136" s="470">
        <v>49</v>
      </c>
      <c r="S136" s="310">
        <v>56</v>
      </c>
      <c r="T136" s="310">
        <v>36</v>
      </c>
      <c r="U136" s="310">
        <v>60</v>
      </c>
      <c r="V136" s="310">
        <v>7</v>
      </c>
      <c r="W136" s="310"/>
    </row>
    <row r="137" spans="1:26" s="46" customFormat="1" ht="21" customHeight="1">
      <c r="A137" s="433" t="s">
        <v>148</v>
      </c>
      <c r="B137" s="431">
        <v>223</v>
      </c>
      <c r="C137" s="432">
        <v>60</v>
      </c>
      <c r="D137" s="432">
        <v>60</v>
      </c>
      <c r="E137" s="432">
        <v>60</v>
      </c>
      <c r="F137" s="432">
        <v>60</v>
      </c>
      <c r="G137" s="432">
        <v>60</v>
      </c>
      <c r="H137" s="133" t="e">
        <f>#REF!+#REF!+#REF!+#REF!+#REF!</f>
        <v>#REF!</v>
      </c>
      <c r="I137" s="132"/>
      <c r="J137" s="133"/>
      <c r="K137" s="133"/>
      <c r="L137" s="133"/>
      <c r="M137" s="133"/>
      <c r="N137" s="133"/>
      <c r="O137" s="133"/>
      <c r="P137" s="133"/>
      <c r="Q137" s="133"/>
      <c r="R137" s="470"/>
      <c r="S137" s="310">
        <v>31</v>
      </c>
      <c r="T137" s="310"/>
      <c r="U137" s="310"/>
      <c r="V137" s="310"/>
      <c r="W137" s="310"/>
    </row>
    <row r="138" spans="1:26" s="46" customFormat="1" ht="21" customHeight="1">
      <c r="A138" s="433" t="s">
        <v>312</v>
      </c>
      <c r="B138" s="431">
        <v>240</v>
      </c>
      <c r="C138" s="432">
        <v>50</v>
      </c>
      <c r="D138" s="432">
        <v>50</v>
      </c>
      <c r="E138" s="432">
        <v>50</v>
      </c>
      <c r="F138" s="432">
        <v>50</v>
      </c>
      <c r="G138" s="432">
        <v>50</v>
      </c>
      <c r="H138" s="133" t="e">
        <f>#REF!+#REF!+#REF!+#REF!+#REF!</f>
        <v>#REF!</v>
      </c>
      <c r="I138" s="132" t="e">
        <f>#REF!+#REF!</f>
        <v>#REF!</v>
      </c>
      <c r="J138" s="133" t="e">
        <f>#REF!+#REF!</f>
        <v>#REF!</v>
      </c>
      <c r="K138" s="133" t="e">
        <f>#REF!+#REF!</f>
        <v>#REF!</v>
      </c>
      <c r="L138" s="133"/>
      <c r="M138" s="133" t="e">
        <f>H138+H143</f>
        <v>#REF!</v>
      </c>
      <c r="N138" s="133"/>
      <c r="O138" s="133"/>
      <c r="P138" s="133"/>
      <c r="Q138" s="133"/>
      <c r="R138" s="470">
        <v>116</v>
      </c>
      <c r="S138" s="310">
        <v>51</v>
      </c>
      <c r="T138" s="310"/>
      <c r="U138" s="310"/>
      <c r="V138" s="310"/>
      <c r="W138" s="310"/>
    </row>
    <row r="139" spans="1:26" s="394" customFormat="1" ht="21" customHeight="1">
      <c r="A139" s="505" t="s">
        <v>313</v>
      </c>
      <c r="B139" s="506"/>
      <c r="C139" s="507">
        <v>30</v>
      </c>
      <c r="D139" s="507">
        <v>30</v>
      </c>
      <c r="E139" s="507">
        <v>30</v>
      </c>
      <c r="F139" s="507">
        <v>30</v>
      </c>
      <c r="G139" s="507">
        <v>30</v>
      </c>
      <c r="H139" s="458" t="e">
        <f>#REF!+#REF!+#REF!+#REF!+#REF!</f>
        <v>#REF!</v>
      </c>
      <c r="I139" s="469" t="e">
        <f>#REF!+#REF!</f>
        <v>#REF!</v>
      </c>
      <c r="J139" s="458" t="e">
        <f>#REF!+#REF!</f>
        <v>#REF!</v>
      </c>
      <c r="K139" s="458" t="e">
        <f>#REF!+#REF!</f>
        <v>#REF!</v>
      </c>
      <c r="L139" s="458"/>
      <c r="M139" s="458" t="e">
        <f>H139+H144</f>
        <v>#REF!</v>
      </c>
      <c r="N139" s="458"/>
      <c r="O139" s="458"/>
      <c r="P139" s="458"/>
      <c r="Q139" s="458"/>
      <c r="R139" s="472">
        <v>116</v>
      </c>
      <c r="S139" s="473">
        <v>51</v>
      </c>
      <c r="T139" s="473"/>
      <c r="U139" s="473"/>
      <c r="V139" s="473"/>
      <c r="W139" s="473"/>
    </row>
    <row r="140" spans="1:26" s="46" customFormat="1" ht="21" customHeight="1">
      <c r="A140" s="433" t="s">
        <v>150</v>
      </c>
      <c r="B140" s="431">
        <v>244</v>
      </c>
      <c r="C140" s="432">
        <v>100</v>
      </c>
      <c r="D140" s="432">
        <v>100</v>
      </c>
      <c r="E140" s="432">
        <v>100</v>
      </c>
      <c r="F140" s="432">
        <v>100</v>
      </c>
      <c r="G140" s="432">
        <v>100</v>
      </c>
      <c r="H140" s="458" t="e">
        <f>#REF!+#REF!+#REF!+#REF!+#REF!</f>
        <v>#REF!</v>
      </c>
      <c r="I140" s="469" t="e">
        <f>#REF!+#REF!</f>
        <v>#REF!</v>
      </c>
      <c r="J140" s="458" t="e">
        <f>#REF!+#REF!</f>
        <v>#REF!</v>
      </c>
      <c r="K140" s="458"/>
      <c r="L140" s="458" t="e">
        <f>H140+H146</f>
        <v>#REF!</v>
      </c>
      <c r="M140" s="458"/>
      <c r="N140" s="458"/>
      <c r="O140" s="458"/>
      <c r="P140" s="458"/>
      <c r="Q140" s="458"/>
      <c r="R140" s="472">
        <v>42</v>
      </c>
      <c r="S140" s="473">
        <v>40</v>
      </c>
      <c r="T140" s="473">
        <v>77</v>
      </c>
      <c r="U140" s="473">
        <v>61</v>
      </c>
      <c r="V140" s="473">
        <v>5</v>
      </c>
      <c r="W140" s="473"/>
      <c r="X140" s="394"/>
      <c r="Y140" s="394"/>
    </row>
    <row r="141" spans="1:26" s="46" customFormat="1" ht="21" customHeight="1">
      <c r="A141" s="440" t="s">
        <v>254</v>
      </c>
      <c r="B141" s="475">
        <v>146</v>
      </c>
      <c r="C141" s="476">
        <v>60</v>
      </c>
      <c r="D141" s="476">
        <v>60</v>
      </c>
      <c r="E141" s="476">
        <v>60</v>
      </c>
      <c r="F141" s="476">
        <v>60</v>
      </c>
      <c r="G141" s="476">
        <v>60</v>
      </c>
      <c r="H141" s="133"/>
      <c r="I141" s="132"/>
      <c r="J141" s="133"/>
      <c r="K141" s="133"/>
      <c r="L141" s="133"/>
      <c r="M141" s="133"/>
      <c r="N141" s="133"/>
      <c r="O141" s="133"/>
      <c r="P141" s="133"/>
      <c r="Q141" s="133"/>
      <c r="R141" s="470"/>
      <c r="S141" s="310"/>
      <c r="T141" s="310"/>
      <c r="U141" s="310"/>
      <c r="V141" s="310"/>
      <c r="W141" s="310"/>
      <c r="Z141" s="46">
        <f>125+2+518+53+86+67+211+252+385+170</f>
        <v>1869</v>
      </c>
    </row>
    <row r="142" spans="1:26" s="46" customFormat="1" ht="21" customHeight="1">
      <c r="A142" s="508" t="s">
        <v>151</v>
      </c>
      <c r="B142" s="455">
        <f>SUM(B128:B141)</f>
        <v>1661</v>
      </c>
      <c r="C142" s="455">
        <f t="shared" ref="C142:G142" si="29">SUM(C128:C141)</f>
        <v>540</v>
      </c>
      <c r="D142" s="455">
        <f t="shared" si="29"/>
        <v>540</v>
      </c>
      <c r="E142" s="455">
        <f t="shared" si="29"/>
        <v>540</v>
      </c>
      <c r="F142" s="455">
        <f t="shared" ref="F142" si="30">SUM(F128:F141)</f>
        <v>540</v>
      </c>
      <c r="G142" s="455">
        <f t="shared" si="29"/>
        <v>540</v>
      </c>
      <c r="H142" s="141"/>
      <c r="I142" s="502" t="e">
        <f>#REF!+#REF!</f>
        <v>#REF!</v>
      </c>
      <c r="J142" s="141"/>
      <c r="K142" s="141" t="e">
        <f>#REF!+#REF!</f>
        <v>#REF!</v>
      </c>
      <c r="L142" s="141"/>
      <c r="M142" s="141"/>
      <c r="N142" s="141"/>
      <c r="O142" s="141"/>
      <c r="P142" s="141"/>
      <c r="Q142" s="141"/>
      <c r="R142" s="310">
        <f>SUM(R128:R140)</f>
        <v>894</v>
      </c>
      <c r="S142" s="310">
        <f>SUM(S128:S140)</f>
        <v>600</v>
      </c>
      <c r="T142" s="310">
        <f>SUM(T128:T140)</f>
        <v>416</v>
      </c>
      <c r="U142" s="310">
        <f>SUM(U128:U140)</f>
        <v>363</v>
      </c>
      <c r="V142" s="310">
        <f>SUM(V128:V140)</f>
        <v>52</v>
      </c>
    </row>
    <row r="143" spans="1:26" ht="21" hidden="1" customHeight="1">
      <c r="A143" s="437" t="s">
        <v>153</v>
      </c>
      <c r="B143" s="457"/>
      <c r="C143" s="131"/>
      <c r="D143" s="131"/>
      <c r="E143" s="131"/>
      <c r="F143" s="131"/>
      <c r="G143" s="131"/>
      <c r="H143" s="131" t="e">
        <f>#REF!+#REF!+#REF!+#REF!+#REF!</f>
        <v>#REF!</v>
      </c>
      <c r="I143" s="517" t="e">
        <f>#REF!+#REF!</f>
        <v>#REF!</v>
      </c>
      <c r="J143" s="131"/>
      <c r="K143" s="131"/>
      <c r="L143" s="131"/>
      <c r="M143" s="131"/>
      <c r="N143" s="131"/>
      <c r="O143" s="131"/>
      <c r="P143" s="131"/>
      <c r="Q143" s="131"/>
      <c r="R143" s="306">
        <v>59</v>
      </c>
      <c r="S143" s="301">
        <v>51</v>
      </c>
      <c r="T143" s="301"/>
      <c r="U143" s="301"/>
      <c r="V143" s="301"/>
    </row>
    <row r="144" spans="1:26" ht="21" hidden="1" customHeight="1">
      <c r="A144" s="433" t="s">
        <v>154</v>
      </c>
      <c r="B144" s="457"/>
      <c r="C144" s="131"/>
      <c r="D144" s="131"/>
      <c r="E144" s="131"/>
      <c r="F144" s="131"/>
      <c r="G144" s="131"/>
      <c r="H144" s="131" t="e">
        <f>#REF!+#REF!+#REF!+#REF!+#REF!</f>
        <v>#REF!</v>
      </c>
      <c r="I144" s="130" t="e">
        <f>#REF!+#REF!</f>
        <v>#REF!</v>
      </c>
      <c r="J144" s="131">
        <f>57+68</f>
        <v>125</v>
      </c>
      <c r="K144" s="131"/>
      <c r="L144" s="131"/>
      <c r="M144" s="131"/>
      <c r="N144" s="131"/>
      <c r="O144" s="131"/>
      <c r="P144" s="131"/>
      <c r="Q144" s="131"/>
      <c r="R144" s="306">
        <v>82</v>
      </c>
      <c r="S144" s="301">
        <v>90</v>
      </c>
      <c r="T144" s="301">
        <v>7</v>
      </c>
      <c r="U144" s="301"/>
      <c r="V144" s="301">
        <v>1</v>
      </c>
    </row>
    <row r="145" spans="1:24" ht="21" hidden="1" customHeight="1">
      <c r="A145" s="433" t="s">
        <v>155</v>
      </c>
      <c r="B145" s="457"/>
      <c r="C145" s="131"/>
      <c r="D145" s="131"/>
      <c r="E145" s="131"/>
      <c r="F145" s="131"/>
      <c r="G145" s="131"/>
      <c r="H145" s="131"/>
      <c r="I145" s="130"/>
      <c r="J145" s="131"/>
      <c r="K145" s="131"/>
      <c r="L145" s="131"/>
      <c r="M145" s="131"/>
      <c r="N145" s="131"/>
      <c r="O145" s="131"/>
      <c r="P145" s="131"/>
      <c r="Q145" s="131"/>
      <c r="R145" s="306">
        <v>82</v>
      </c>
      <c r="S145" s="301">
        <v>90</v>
      </c>
      <c r="T145" s="301">
        <v>7</v>
      </c>
      <c r="U145" s="301"/>
      <c r="V145" s="301">
        <v>1</v>
      </c>
    </row>
    <row r="146" spans="1:24" ht="21" hidden="1" customHeight="1">
      <c r="A146" s="490" t="s">
        <v>156</v>
      </c>
      <c r="B146" s="457"/>
      <c r="C146" s="131"/>
      <c r="D146" s="131"/>
      <c r="E146" s="131"/>
      <c r="F146" s="131"/>
      <c r="G146" s="131"/>
      <c r="H146" s="131" t="e">
        <f>#REF!+#REF!+#REF!+#REF!+#REF!</f>
        <v>#REF!</v>
      </c>
      <c r="I146" s="130" t="e">
        <f>#REF!+#REF!</f>
        <v>#REF!</v>
      </c>
      <c r="J146" s="131" t="e">
        <f>#REF!+#REF!</f>
        <v>#REF!</v>
      </c>
      <c r="K146" s="131" t="e">
        <f>#REF!+#REF!</f>
        <v>#REF!</v>
      </c>
      <c r="L146" s="131"/>
      <c r="M146" s="131"/>
      <c r="N146" s="131"/>
      <c r="O146" s="131"/>
      <c r="P146" s="131"/>
      <c r="Q146" s="131"/>
      <c r="R146" s="306">
        <v>57</v>
      </c>
      <c r="S146" s="301">
        <v>68</v>
      </c>
      <c r="T146" s="301">
        <v>35</v>
      </c>
      <c r="U146" s="301"/>
      <c r="V146" s="301"/>
    </row>
    <row r="147" spans="1:24" ht="21" hidden="1" customHeight="1">
      <c r="A147" s="411" t="s">
        <v>157</v>
      </c>
      <c r="B147" s="417"/>
      <c r="C147" s="135"/>
      <c r="D147" s="135"/>
      <c r="E147" s="135"/>
      <c r="F147" s="135"/>
      <c r="G147" s="135"/>
      <c r="H147" s="135"/>
      <c r="I147" s="134" t="e">
        <f>#REF!+#REF!</f>
        <v>#REF!</v>
      </c>
      <c r="J147" s="135">
        <f>34+46</f>
        <v>80</v>
      </c>
      <c r="K147" s="135"/>
      <c r="L147" s="135"/>
      <c r="M147" s="135"/>
      <c r="N147" s="135"/>
      <c r="O147" s="135"/>
      <c r="P147" s="135"/>
      <c r="Q147" s="135"/>
      <c r="R147" s="518">
        <f>SUM(R143:R146)</f>
        <v>280</v>
      </c>
      <c r="S147" s="301">
        <f>SUM(S143:S146)</f>
        <v>299</v>
      </c>
      <c r="T147" s="301">
        <f>SUM(T143:T146)</f>
        <v>49</v>
      </c>
      <c r="V147" s="301">
        <f>SUM(V143:V146)</f>
        <v>2</v>
      </c>
    </row>
    <row r="148" spans="1:24" ht="21" hidden="1" customHeight="1">
      <c r="A148" s="437" t="s">
        <v>14</v>
      </c>
      <c r="B148" s="457"/>
      <c r="C148" s="131"/>
      <c r="D148" s="131"/>
      <c r="E148" s="131"/>
      <c r="F148" s="131"/>
      <c r="G148" s="131"/>
      <c r="H148" s="131"/>
      <c r="I148" s="130" t="e">
        <f>#REF!+#REF!</f>
        <v>#REF!</v>
      </c>
      <c r="J148" s="131"/>
      <c r="K148" s="131"/>
      <c r="L148" s="131"/>
      <c r="M148" s="131"/>
      <c r="N148" s="131"/>
      <c r="O148" s="131"/>
      <c r="P148" s="131"/>
      <c r="Q148" s="131"/>
      <c r="R148" s="321"/>
    </row>
    <row r="149" spans="1:24" ht="21" hidden="1" customHeight="1">
      <c r="A149" s="433" t="s">
        <v>158</v>
      </c>
      <c r="B149" s="457"/>
      <c r="C149" s="131"/>
      <c r="D149" s="131"/>
      <c r="E149" s="131"/>
      <c r="F149" s="131"/>
      <c r="G149" s="131"/>
      <c r="H149" s="131"/>
      <c r="I149" s="130"/>
      <c r="J149" s="131"/>
      <c r="K149" s="131"/>
      <c r="L149" s="131"/>
      <c r="M149" s="131"/>
      <c r="N149" s="131"/>
      <c r="O149" s="131"/>
      <c r="P149" s="131"/>
      <c r="Q149" s="131"/>
    </row>
    <row r="150" spans="1:24" ht="21" hidden="1" customHeight="1">
      <c r="A150" s="490"/>
      <c r="B150" s="457"/>
      <c r="C150" s="131"/>
      <c r="D150" s="131"/>
      <c r="E150" s="131"/>
      <c r="F150" s="131"/>
      <c r="G150" s="131"/>
      <c r="H150" s="131"/>
      <c r="I150" s="130"/>
      <c r="J150" s="131"/>
      <c r="K150" s="131"/>
      <c r="L150" s="131"/>
      <c r="M150" s="131"/>
      <c r="N150" s="131"/>
      <c r="O150" s="131"/>
      <c r="P150" s="131"/>
      <c r="Q150" s="131"/>
    </row>
    <row r="151" spans="1:24" ht="21" hidden="1" customHeight="1">
      <c r="A151" s="411" t="s">
        <v>6</v>
      </c>
      <c r="B151" s="417"/>
      <c r="C151" s="135"/>
      <c r="D151" s="135"/>
      <c r="E151" s="135"/>
      <c r="F151" s="135"/>
      <c r="G151" s="135"/>
      <c r="H151" s="135"/>
      <c r="I151" s="134"/>
      <c r="J151" s="135"/>
      <c r="K151" s="135"/>
      <c r="L151" s="135"/>
      <c r="M151" s="135"/>
      <c r="N151" s="135"/>
      <c r="O151" s="135"/>
      <c r="P151" s="135"/>
      <c r="Q151" s="135"/>
    </row>
    <row r="152" spans="1:24" ht="21" customHeight="1">
      <c r="A152" s="509" t="s">
        <v>159</v>
      </c>
      <c r="B152" s="510">
        <f t="shared" ref="B152:G152" si="31">SUM(B5,B34,B58,B90,B112,B142)</f>
        <v>7289</v>
      </c>
      <c r="C152" s="488">
        <f t="shared" si="31"/>
        <v>2780</v>
      </c>
      <c r="D152" s="511">
        <f t="shared" ca="1" si="31"/>
        <v>2600</v>
      </c>
      <c r="E152" s="511">
        <f t="shared" si="31"/>
        <v>2780</v>
      </c>
      <c r="F152" s="511">
        <f t="shared" si="31"/>
        <v>2780</v>
      </c>
      <c r="G152" s="511">
        <f t="shared" si="31"/>
        <v>2780</v>
      </c>
      <c r="H152" s="140"/>
      <c r="I152" s="139"/>
      <c r="J152" s="140"/>
      <c r="K152" s="140"/>
      <c r="L152" s="140"/>
      <c r="M152" s="140"/>
      <c r="N152" s="140"/>
      <c r="O152" s="140"/>
      <c r="P152" s="140"/>
      <c r="Q152" s="140"/>
      <c r="T152" s="301" t="e">
        <f>SUM(T5:T151)</f>
        <v>#REF!</v>
      </c>
    </row>
    <row r="153" spans="1:24" ht="21" hidden="1" customHeight="1"/>
    <row r="154" spans="1:24" ht="21" hidden="1" customHeight="1"/>
    <row r="155" spans="1:24" ht="21" hidden="1" customHeight="1"/>
    <row r="156" spans="1:24" ht="21" hidden="1" customHeight="1"/>
    <row r="157" spans="1:24" ht="21" hidden="1" customHeight="1">
      <c r="A157" s="396" t="s">
        <v>24</v>
      </c>
    </row>
    <row r="158" spans="1:24" s="106" customFormat="1" ht="21" hidden="1" customHeight="1">
      <c r="A158" s="396" t="s">
        <v>25</v>
      </c>
      <c r="B158" s="396"/>
      <c r="I158" s="105"/>
      <c r="R158" s="47"/>
      <c r="S158" s="47"/>
      <c r="T158" s="47"/>
      <c r="U158" s="47"/>
      <c r="V158" s="47"/>
      <c r="W158" s="47"/>
      <c r="X158" s="47"/>
    </row>
    <row r="159" spans="1:24" s="106" customFormat="1" ht="21" hidden="1" customHeight="1">
      <c r="A159" s="396" t="s">
        <v>44</v>
      </c>
      <c r="B159" s="396"/>
      <c r="I159" s="105"/>
      <c r="R159" s="47"/>
      <c r="S159" s="47"/>
      <c r="T159" s="47"/>
      <c r="U159" s="47"/>
      <c r="V159" s="47"/>
      <c r="W159" s="47"/>
      <c r="X159" s="47"/>
    </row>
    <row r="160" spans="1:24" ht="21" hidden="1" customHeight="1"/>
    <row r="161" spans="1:10" s="106" customFormat="1" ht="21" hidden="1" customHeight="1">
      <c r="A161" s="512" t="s">
        <v>255</v>
      </c>
      <c r="B161" s="513"/>
      <c r="I161" s="105"/>
    </row>
    <row r="162" spans="1:10" s="106" customFormat="1" ht="21" hidden="1" customHeight="1">
      <c r="A162" s="514" t="s">
        <v>165</v>
      </c>
      <c r="B162" s="515"/>
      <c r="H162" s="106">
        <f>8694+2414</f>
        <v>11108</v>
      </c>
    </row>
    <row r="163" spans="1:10" s="106" customFormat="1" ht="21" hidden="1" customHeight="1">
      <c r="A163" s="514" t="s">
        <v>166</v>
      </c>
      <c r="B163" s="515"/>
      <c r="I163" s="105"/>
    </row>
    <row r="164" spans="1:10" s="106" customFormat="1" ht="21" hidden="1" customHeight="1">
      <c r="A164" s="514" t="s">
        <v>167</v>
      </c>
      <c r="B164" s="515"/>
      <c r="I164" s="105"/>
    </row>
    <row r="165" spans="1:10" s="106" customFormat="1" ht="21" hidden="1" customHeight="1">
      <c r="A165" s="514" t="s">
        <v>168</v>
      </c>
      <c r="B165" s="515"/>
      <c r="I165" s="105"/>
    </row>
    <row r="166" spans="1:10" s="106" customFormat="1" ht="21" hidden="1" customHeight="1">
      <c r="A166" s="514" t="s">
        <v>169</v>
      </c>
      <c r="B166" s="515"/>
      <c r="I166" s="105"/>
    </row>
    <row r="167" spans="1:10" s="106" customFormat="1" ht="21" hidden="1" customHeight="1">
      <c r="A167" s="516"/>
      <c r="B167" s="515"/>
      <c r="I167" s="105"/>
    </row>
    <row r="168" spans="1:10" s="106" customFormat="1" ht="21" customHeight="1">
      <c r="A168" s="395"/>
      <c r="B168" s="396"/>
      <c r="I168" s="105"/>
    </row>
    <row r="169" spans="1:10" s="106" customFormat="1" ht="21" customHeight="1">
      <c r="A169" s="395"/>
      <c r="B169" s="396"/>
      <c r="I169" s="105"/>
      <c r="J169" s="106">
        <f>18+35</f>
        <v>53</v>
      </c>
    </row>
    <row r="170" spans="1:10" s="106" customFormat="1" ht="21" customHeight="1">
      <c r="A170" s="395"/>
      <c r="B170" s="396"/>
      <c r="I170" s="105"/>
    </row>
    <row r="171" spans="1:10" s="106" customFormat="1" ht="21" customHeight="1">
      <c r="A171" s="395"/>
      <c r="B171" s="396"/>
      <c r="I171" s="105"/>
    </row>
  </sheetData>
  <mergeCells count="17">
    <mergeCell ref="J15:L15"/>
    <mergeCell ref="I16:O16"/>
    <mergeCell ref="J17:N17"/>
    <mergeCell ref="J21:N21"/>
    <mergeCell ref="J36:L36"/>
    <mergeCell ref="I17:I18"/>
    <mergeCell ref="I21:I22"/>
    <mergeCell ref="O17:O18"/>
    <mergeCell ref="O21:O22"/>
    <mergeCell ref="A1:G1"/>
    <mergeCell ref="I2:O2"/>
    <mergeCell ref="C3:G3"/>
    <mergeCell ref="I3:O3"/>
    <mergeCell ref="J4:N4"/>
    <mergeCell ref="A3:A4"/>
    <mergeCell ref="I4:I5"/>
    <mergeCell ref="O4:O5"/>
  </mergeCells>
  <printOptions horizontalCentered="1"/>
  <pageMargins left="0.39370078740157499" right="0.39370078740157499" top="1.0629921259842501" bottom="0.43307086614173201" header="0.78740157480314998" footer="0.196850393700787"/>
  <pageSetup paperSize="9" scale="90" orientation="portrait" horizontalDpi="300" verticalDpi="300" r:id="rId1"/>
  <headerFooter alignWithMargins="0">
    <oddFooter>&amp;L&amp;P&amp;R&amp;F</oddFooter>
  </headerFooter>
  <rowBreaks count="5" manualBreakCount="5">
    <brk id="33" max="7" man="1"/>
    <brk id="57" max="7" man="1"/>
    <brk id="89" max="7" man="1"/>
    <brk id="111" max="7" man="1"/>
    <brk id="12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zoomScale="110" zoomScaleNormal="110" zoomScaleSheetLayoutView="98" workbookViewId="0">
      <pane xSplit="1" ySplit="4" topLeftCell="B71" activePane="bottomRight" state="frozen"/>
      <selection pane="topRight"/>
      <selection pane="bottomLeft"/>
      <selection pane="bottomRight" activeCell="G86" sqref="G86"/>
    </sheetView>
  </sheetViews>
  <sheetFormatPr defaultColWidth="9.140625" defaultRowHeight="21"/>
  <cols>
    <col min="1" max="1" width="53.28515625" style="47" customWidth="1"/>
    <col min="2" max="2" width="7" style="47" customWidth="1"/>
    <col min="3" max="3" width="6.85546875" style="47" customWidth="1"/>
    <col min="4" max="4" width="7" style="47" customWidth="1"/>
    <col min="5" max="5" width="7.28515625" style="47" customWidth="1"/>
    <col min="6" max="6" width="7.140625" style="47" customWidth="1"/>
    <col min="7" max="7" width="7.28515625" style="47" customWidth="1"/>
    <col min="8" max="9" width="7.7109375" style="47" hidden="1" customWidth="1"/>
    <col min="10" max="10" width="8.42578125" style="47" customWidth="1"/>
    <col min="11" max="16" width="9" style="47" hidden="1" customWidth="1"/>
    <col min="17" max="17" width="8.5703125" style="47" hidden="1" customWidth="1"/>
    <col min="18" max="18" width="26.42578125" style="47" customWidth="1"/>
    <col min="19" max="21" width="8.5703125" style="47" customWidth="1"/>
    <col min="22" max="16384" width="9.140625" style="47"/>
  </cols>
  <sheetData>
    <row r="1" spans="1:29">
      <c r="A1" s="810" t="s">
        <v>314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12"/>
      <c r="R1" s="108"/>
      <c r="S1" s="108"/>
      <c r="T1" s="108"/>
      <c r="U1" s="108"/>
    </row>
    <row r="2" spans="1:29">
      <c r="A2" s="335"/>
      <c r="B2" s="336"/>
      <c r="C2" s="877" t="s">
        <v>32</v>
      </c>
      <c r="D2" s="877"/>
      <c r="E2" s="877"/>
      <c r="F2" s="877"/>
      <c r="G2" s="877"/>
      <c r="H2" s="877"/>
      <c r="I2" s="878"/>
      <c r="J2" s="884" t="s">
        <v>6</v>
      </c>
    </row>
    <row r="3" spans="1:29">
      <c r="A3" s="882" t="s">
        <v>31</v>
      </c>
      <c r="B3" s="337">
        <v>2559</v>
      </c>
      <c r="C3" s="337">
        <v>2558</v>
      </c>
      <c r="D3" s="337">
        <v>2557</v>
      </c>
      <c r="E3" s="337">
        <v>2556</v>
      </c>
      <c r="F3" s="338">
        <v>2555</v>
      </c>
      <c r="G3" s="338">
        <v>2554</v>
      </c>
      <c r="H3" s="338">
        <v>2553</v>
      </c>
      <c r="I3" s="338">
        <v>2551</v>
      </c>
      <c r="J3" s="885"/>
      <c r="K3" s="765" t="s">
        <v>160</v>
      </c>
      <c r="L3" s="766" t="s">
        <v>174</v>
      </c>
      <c r="M3" s="766" t="s">
        <v>175</v>
      </c>
      <c r="N3" s="766" t="s">
        <v>176</v>
      </c>
      <c r="O3" s="766" t="s">
        <v>177</v>
      </c>
      <c r="P3" s="803" t="s">
        <v>6</v>
      </c>
    </row>
    <row r="4" spans="1:29" ht="12.75" hidden="1" customHeight="1">
      <c r="A4" s="883"/>
      <c r="B4" s="339"/>
      <c r="C4" s="339"/>
      <c r="D4" s="339"/>
      <c r="E4" s="339"/>
      <c r="F4" s="340" t="s">
        <v>178</v>
      </c>
      <c r="G4" s="340" t="s">
        <v>178</v>
      </c>
      <c r="H4" s="340"/>
      <c r="I4" s="340"/>
      <c r="J4" s="340" t="s">
        <v>178</v>
      </c>
      <c r="K4" s="365" t="s">
        <v>178</v>
      </c>
      <c r="L4" s="365"/>
      <c r="M4" s="365"/>
      <c r="N4" s="365"/>
      <c r="O4" s="365" t="s">
        <v>179</v>
      </c>
      <c r="P4" s="816"/>
    </row>
    <row r="5" spans="1:29">
      <c r="A5" s="341" t="s">
        <v>40</v>
      </c>
      <c r="B5" s="341"/>
      <c r="C5" s="341"/>
      <c r="D5" s="341"/>
      <c r="E5" s="341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66"/>
      <c r="R5" s="107"/>
      <c r="S5" s="108"/>
      <c r="T5" s="108"/>
      <c r="U5" s="108"/>
      <c r="V5" s="108"/>
      <c r="W5" s="108"/>
      <c r="X5" s="108"/>
    </row>
    <row r="6" spans="1:29">
      <c r="A6" s="219" t="s">
        <v>180</v>
      </c>
      <c r="B6" s="220"/>
      <c r="C6" s="220"/>
      <c r="D6" s="220"/>
      <c r="E6" s="220"/>
      <c r="F6" s="343"/>
      <c r="G6" s="343"/>
      <c r="H6" s="343"/>
      <c r="I6" s="343"/>
      <c r="J6" s="343">
        <f>SUM(B6:I6)</f>
        <v>0</v>
      </c>
      <c r="K6" s="367">
        <v>52</v>
      </c>
      <c r="L6" s="367">
        <v>64</v>
      </c>
      <c r="M6" s="367">
        <v>20</v>
      </c>
      <c r="N6" s="367">
        <v>54</v>
      </c>
      <c r="O6" s="367"/>
      <c r="P6" s="269">
        <f t="shared" ref="P6:P20" si="0">SUM(J6:O6)</f>
        <v>190</v>
      </c>
      <c r="Q6" s="47" t="s">
        <v>165</v>
      </c>
      <c r="R6" s="794" t="s">
        <v>315</v>
      </c>
      <c r="S6" s="794"/>
      <c r="T6" s="794"/>
      <c r="U6" s="794"/>
      <c r="V6" s="794"/>
      <c r="W6" s="794"/>
      <c r="X6" s="794"/>
    </row>
    <row r="7" spans="1:29" s="46" customFormat="1">
      <c r="A7" s="222" t="s">
        <v>181</v>
      </c>
      <c r="B7" s="56"/>
      <c r="C7" s="56"/>
      <c r="D7" s="56"/>
      <c r="E7" s="56"/>
      <c r="F7" s="253"/>
      <c r="G7" s="253"/>
      <c r="H7" s="253"/>
      <c r="I7" s="253"/>
      <c r="J7" s="253">
        <f>SUM(B7:I7)</f>
        <v>0</v>
      </c>
      <c r="K7" s="368">
        <v>17</v>
      </c>
      <c r="L7" s="369"/>
      <c r="M7" s="369"/>
      <c r="N7" s="369"/>
      <c r="O7" s="369"/>
      <c r="P7" s="364">
        <f t="shared" si="0"/>
        <v>17</v>
      </c>
      <c r="Q7" s="46" t="s">
        <v>165</v>
      </c>
      <c r="R7" s="289"/>
      <c r="S7" s="290"/>
      <c r="T7" s="290"/>
      <c r="U7" s="290"/>
      <c r="V7" s="290"/>
      <c r="W7" s="290"/>
      <c r="X7" s="290"/>
    </row>
    <row r="8" spans="1:29">
      <c r="A8" s="222" t="s">
        <v>182</v>
      </c>
      <c r="B8" s="56"/>
      <c r="C8" s="56"/>
      <c r="D8" s="56"/>
      <c r="E8" s="56"/>
      <c r="F8" s="253"/>
      <c r="G8" s="253"/>
      <c r="H8" s="253"/>
      <c r="I8" s="253"/>
      <c r="J8" s="253">
        <f>SUM(B8:I8)</f>
        <v>0</v>
      </c>
      <c r="K8" s="370">
        <v>27</v>
      </c>
      <c r="L8" s="253"/>
      <c r="M8" s="253"/>
      <c r="N8" s="253"/>
      <c r="O8" s="253"/>
      <c r="P8" s="269">
        <f t="shared" si="0"/>
        <v>27</v>
      </c>
      <c r="Q8" s="47" t="s">
        <v>165</v>
      </c>
      <c r="R8" s="873" t="s">
        <v>38</v>
      </c>
      <c r="S8" s="871" t="s">
        <v>39</v>
      </c>
      <c r="T8" s="871"/>
      <c r="U8" s="871"/>
      <c r="V8" s="871"/>
      <c r="W8" s="871"/>
      <c r="X8" s="875" t="s">
        <v>6</v>
      </c>
    </row>
    <row r="9" spans="1:29" s="46" customFormat="1">
      <c r="A9" s="222" t="s">
        <v>183</v>
      </c>
      <c r="B9" s="56"/>
      <c r="C9" s="56"/>
      <c r="D9" s="56"/>
      <c r="E9" s="56"/>
      <c r="F9" s="253"/>
      <c r="G9" s="253"/>
      <c r="H9" s="253"/>
      <c r="I9" s="253"/>
      <c r="J9" s="253">
        <f t="shared" ref="J9:J14" si="1">SUM(B9:I9)</f>
        <v>0</v>
      </c>
      <c r="K9" s="369">
        <v>19</v>
      </c>
      <c r="L9" s="369"/>
      <c r="M9" s="369"/>
      <c r="N9" s="369"/>
      <c r="O9" s="369"/>
      <c r="P9" s="364">
        <f t="shared" si="0"/>
        <v>19</v>
      </c>
      <c r="Q9" s="46" t="s">
        <v>167</v>
      </c>
      <c r="R9" s="886"/>
      <c r="S9" s="291" t="s">
        <v>41</v>
      </c>
      <c r="T9" s="124" t="s">
        <v>42</v>
      </c>
      <c r="U9" s="124" t="s">
        <v>43</v>
      </c>
      <c r="V9" s="124" t="s">
        <v>25</v>
      </c>
      <c r="W9" s="124" t="s">
        <v>44</v>
      </c>
      <c r="X9" s="876"/>
    </row>
    <row r="10" spans="1:29">
      <c r="A10" s="222" t="s">
        <v>184</v>
      </c>
      <c r="B10" s="56"/>
      <c r="C10" s="56"/>
      <c r="D10" s="56"/>
      <c r="E10" s="56"/>
      <c r="F10" s="253"/>
      <c r="G10" s="253"/>
      <c r="H10" s="253"/>
      <c r="I10" s="253"/>
      <c r="J10" s="253">
        <f t="shared" si="1"/>
        <v>0</v>
      </c>
      <c r="K10" s="253"/>
      <c r="L10" s="253"/>
      <c r="M10" s="253"/>
      <c r="N10" s="253"/>
      <c r="O10" s="253"/>
      <c r="P10" s="269">
        <f t="shared" si="0"/>
        <v>0</v>
      </c>
      <c r="Q10" s="47" t="s">
        <v>167</v>
      </c>
      <c r="R10" s="126" t="s">
        <v>46</v>
      </c>
      <c r="S10" s="127">
        <f>บัณฑิตศึกษา!I39</f>
        <v>220</v>
      </c>
      <c r="T10" s="127"/>
      <c r="U10" s="127">
        <f>J20-J19</f>
        <v>0</v>
      </c>
      <c r="V10" s="127">
        <f>บัณฑิตศึกษา!I13</f>
        <v>449</v>
      </c>
      <c r="W10" s="127">
        <f>บัณฑิตศึกษา!I19</f>
        <v>152</v>
      </c>
      <c r="X10" s="127">
        <f t="shared" ref="X10:X20" si="2">SUM(S10:W10)</f>
        <v>821</v>
      </c>
      <c r="AC10" s="46"/>
    </row>
    <row r="11" spans="1:29">
      <c r="A11" s="222" t="s">
        <v>185</v>
      </c>
      <c r="B11" s="56"/>
      <c r="C11" s="56"/>
      <c r="D11" s="56"/>
      <c r="E11" s="56"/>
      <c r="F11" s="253"/>
      <c r="G11" s="253"/>
      <c r="H11" s="253"/>
      <c r="I11" s="253"/>
      <c r="J11" s="253">
        <f t="shared" si="1"/>
        <v>0</v>
      </c>
      <c r="K11" s="253"/>
      <c r="L11" s="253"/>
      <c r="M11" s="253"/>
      <c r="N11" s="253"/>
      <c r="O11" s="253"/>
      <c r="P11" s="269">
        <f t="shared" si="0"/>
        <v>0</v>
      </c>
      <c r="R11" s="126" t="s">
        <v>48</v>
      </c>
      <c r="S11" s="127"/>
      <c r="T11" s="127">
        <f>J60</f>
        <v>490</v>
      </c>
      <c r="U11" s="127"/>
      <c r="V11" s="127">
        <f>บัณฑิตศึกษา!I28</f>
        <v>14</v>
      </c>
      <c r="W11" s="127"/>
      <c r="X11" s="127">
        <f t="shared" si="2"/>
        <v>504</v>
      </c>
      <c r="Z11" s="47">
        <f>353+494</f>
        <v>847</v>
      </c>
    </row>
    <row r="12" spans="1:29">
      <c r="A12" s="222" t="s">
        <v>186</v>
      </c>
      <c r="B12" s="56"/>
      <c r="C12" s="56"/>
      <c r="D12" s="56"/>
      <c r="E12" s="56"/>
      <c r="F12" s="253"/>
      <c r="G12" s="253"/>
      <c r="H12" s="253"/>
      <c r="I12" s="253"/>
      <c r="J12" s="253">
        <f t="shared" si="1"/>
        <v>0</v>
      </c>
      <c r="K12" s="370"/>
      <c r="L12" s="253"/>
      <c r="M12" s="253"/>
      <c r="N12" s="253"/>
      <c r="O12" s="253"/>
      <c r="P12" s="269">
        <f t="shared" si="0"/>
        <v>0</v>
      </c>
      <c r="Q12" s="381">
        <v>526</v>
      </c>
      <c r="R12" s="126" t="s">
        <v>50</v>
      </c>
      <c r="S12" s="127">
        <f>J70+J81</f>
        <v>250</v>
      </c>
      <c r="T12" s="127">
        <f>J84-S12</f>
        <v>383</v>
      </c>
      <c r="U12" s="127"/>
      <c r="V12" s="127">
        <f>บัณฑิตศึกษา!I34</f>
        <v>86</v>
      </c>
      <c r="W12" s="127">
        <f>บัณฑิตศึกษา!I35</f>
        <v>40</v>
      </c>
      <c r="X12" s="127">
        <f t="shared" si="2"/>
        <v>759</v>
      </c>
    </row>
    <row r="13" spans="1:29">
      <c r="A13" s="222" t="s">
        <v>58</v>
      </c>
      <c r="B13" s="56"/>
      <c r="C13" s="56"/>
      <c r="D13" s="56"/>
      <c r="E13" s="56"/>
      <c r="F13" s="253"/>
      <c r="G13" s="253"/>
      <c r="H13" s="253"/>
      <c r="I13" s="253"/>
      <c r="J13" s="253">
        <f t="shared" si="1"/>
        <v>0</v>
      </c>
      <c r="K13" s="253"/>
      <c r="L13" s="253"/>
      <c r="M13" s="253"/>
      <c r="N13" s="253"/>
      <c r="O13" s="253"/>
      <c r="P13" s="269">
        <f t="shared" si="0"/>
        <v>0</v>
      </c>
      <c r="Q13" s="381">
        <v>116</v>
      </c>
      <c r="R13" s="49" t="s">
        <v>6</v>
      </c>
      <c r="S13" s="49">
        <f>SUM(S10:S12)</f>
        <v>470</v>
      </c>
      <c r="T13" s="49">
        <f t="shared" ref="T13:X13" si="3">SUM(T10:T12)</f>
        <v>873</v>
      </c>
      <c r="U13" s="49">
        <f t="shared" si="3"/>
        <v>0</v>
      </c>
      <c r="V13" s="49">
        <f t="shared" si="3"/>
        <v>549</v>
      </c>
      <c r="W13" s="49">
        <f t="shared" si="3"/>
        <v>192</v>
      </c>
      <c r="X13" s="49">
        <f t="shared" si="3"/>
        <v>2084</v>
      </c>
      <c r="Y13" s="47">
        <v>153</v>
      </c>
      <c r="Z13" s="301">
        <f>SUM(X13:Y13)</f>
        <v>2237</v>
      </c>
    </row>
    <row r="14" spans="1:29" s="46" customFormat="1">
      <c r="A14" s="222" t="s">
        <v>187</v>
      </c>
      <c r="B14" s="56"/>
      <c r="C14" s="56"/>
      <c r="D14" s="56"/>
      <c r="E14" s="56"/>
      <c r="F14" s="253"/>
      <c r="G14" s="253"/>
      <c r="H14" s="253"/>
      <c r="I14" s="253"/>
      <c r="J14" s="253">
        <f t="shared" si="1"/>
        <v>0</v>
      </c>
      <c r="K14" s="368">
        <v>24</v>
      </c>
      <c r="L14" s="369"/>
      <c r="M14" s="369"/>
      <c r="N14" s="369"/>
      <c r="O14" s="369"/>
      <c r="P14" s="364">
        <f t="shared" si="0"/>
        <v>24</v>
      </c>
      <c r="R14" s="115" t="s">
        <v>53</v>
      </c>
      <c r="S14" s="117"/>
      <c r="T14" s="117">
        <f>J42</f>
        <v>35</v>
      </c>
      <c r="U14" s="117"/>
      <c r="V14" s="117">
        <f>บัณฑิตศึกษา!M13</f>
        <v>78</v>
      </c>
      <c r="W14" s="117">
        <f>บัณฑิตศึกษา!I22</f>
        <v>1</v>
      </c>
      <c r="X14" s="117">
        <f t="shared" si="2"/>
        <v>114</v>
      </c>
    </row>
    <row r="15" spans="1:29" hidden="1">
      <c r="A15" s="56"/>
      <c r="B15" s="56"/>
      <c r="C15" s="56"/>
      <c r="D15" s="56"/>
      <c r="E15" s="56"/>
      <c r="F15" s="253"/>
      <c r="G15" s="253"/>
      <c r="H15" s="253"/>
      <c r="I15" s="253"/>
      <c r="J15" s="253"/>
      <c r="K15" s="370">
        <v>142</v>
      </c>
      <c r="L15" s="370">
        <v>334</v>
      </c>
      <c r="M15" s="370">
        <v>9</v>
      </c>
      <c r="N15" s="253">
        <v>1</v>
      </c>
      <c r="O15" s="253"/>
      <c r="P15" s="269">
        <f t="shared" si="0"/>
        <v>486</v>
      </c>
      <c r="Q15" s="47" t="s">
        <v>165</v>
      </c>
      <c r="R15" s="126" t="s">
        <v>55</v>
      </c>
      <c r="S15" s="127"/>
      <c r="T15" s="127"/>
      <c r="U15" s="127"/>
      <c r="V15" s="127"/>
      <c r="W15" s="127"/>
      <c r="X15" s="127">
        <f t="shared" si="2"/>
        <v>0</v>
      </c>
    </row>
    <row r="16" spans="1:29" hidden="1">
      <c r="A16" s="56" t="s">
        <v>49</v>
      </c>
      <c r="B16" s="56"/>
      <c r="C16" s="56"/>
      <c r="D16" s="56"/>
      <c r="E16" s="56"/>
      <c r="F16" s="253"/>
      <c r="G16" s="253"/>
      <c r="H16" s="253"/>
      <c r="I16" s="253"/>
      <c r="J16" s="253"/>
      <c r="K16" s="370">
        <v>36</v>
      </c>
      <c r="L16" s="253"/>
      <c r="M16" s="253"/>
      <c r="N16" s="253"/>
      <c r="O16" s="253"/>
      <c r="P16" s="269">
        <f t="shared" si="0"/>
        <v>36</v>
      </c>
      <c r="R16" s="126" t="s">
        <v>57</v>
      </c>
      <c r="S16" s="127"/>
      <c r="T16" s="127"/>
      <c r="U16" s="127"/>
      <c r="V16" s="127"/>
      <c r="W16" s="127"/>
      <c r="X16" s="127">
        <f t="shared" si="2"/>
        <v>0</v>
      </c>
    </row>
    <row r="17" spans="1:27" hidden="1">
      <c r="A17" s="56"/>
      <c r="B17" s="56"/>
      <c r="C17" s="56"/>
      <c r="D17" s="56"/>
      <c r="E17" s="56"/>
      <c r="F17" s="253"/>
      <c r="G17" s="253"/>
      <c r="H17" s="253"/>
      <c r="I17" s="253"/>
      <c r="J17" s="253"/>
      <c r="K17" s="370">
        <v>42</v>
      </c>
      <c r="L17" s="370">
        <v>48</v>
      </c>
      <c r="M17" s="370">
        <v>7</v>
      </c>
      <c r="N17" s="253"/>
      <c r="O17" s="253"/>
      <c r="P17" s="269">
        <f t="shared" si="0"/>
        <v>97</v>
      </c>
      <c r="Q17" s="47" t="s">
        <v>167</v>
      </c>
      <c r="R17" s="129" t="s">
        <v>6</v>
      </c>
      <c r="S17" s="49"/>
      <c r="T17" s="49"/>
      <c r="U17" s="49"/>
      <c r="V17" s="49"/>
      <c r="W17" s="49"/>
      <c r="X17" s="127">
        <f t="shared" si="2"/>
        <v>0</v>
      </c>
    </row>
    <row r="18" spans="1:27" hidden="1">
      <c r="A18" s="56" t="s">
        <v>54</v>
      </c>
      <c r="B18" s="56"/>
      <c r="C18" s="56"/>
      <c r="D18" s="56"/>
      <c r="E18" s="56"/>
      <c r="F18" s="253"/>
      <c r="G18" s="253"/>
      <c r="H18" s="253"/>
      <c r="I18" s="253"/>
      <c r="J18" s="253"/>
      <c r="K18" s="370">
        <v>36</v>
      </c>
      <c r="L18" s="253"/>
      <c r="M18" s="253"/>
      <c r="N18" s="253"/>
      <c r="O18" s="253"/>
      <c r="P18" s="269">
        <f t="shared" si="0"/>
        <v>36</v>
      </c>
      <c r="R18" s="129" t="s">
        <v>21</v>
      </c>
      <c r="S18" s="49"/>
      <c r="T18" s="49"/>
      <c r="U18" s="49"/>
      <c r="V18" s="49"/>
      <c r="W18" s="49"/>
      <c r="X18" s="49">
        <f t="shared" si="2"/>
        <v>0</v>
      </c>
    </row>
    <row r="19" spans="1:27">
      <c r="A19" s="344" t="s">
        <v>12</v>
      </c>
      <c r="B19" s="344"/>
      <c r="C19" s="344"/>
      <c r="D19" s="344"/>
      <c r="E19" s="344"/>
      <c r="F19" s="74"/>
      <c r="G19" s="345"/>
      <c r="H19" s="346"/>
      <c r="I19" s="346"/>
      <c r="J19" s="346">
        <f>SUM(B19:H19)</f>
        <v>0</v>
      </c>
      <c r="K19" s="371">
        <v>117</v>
      </c>
      <c r="L19" s="371">
        <v>146</v>
      </c>
      <c r="M19" s="256">
        <v>22</v>
      </c>
      <c r="N19" s="256"/>
      <c r="O19" s="256"/>
      <c r="P19" s="269">
        <f t="shared" si="0"/>
        <v>285</v>
      </c>
      <c r="R19" s="126" t="s">
        <v>55</v>
      </c>
      <c r="S19" s="93"/>
      <c r="T19" s="305">
        <f>J46</f>
        <v>2</v>
      </c>
      <c r="U19" s="93"/>
      <c r="V19" s="93"/>
      <c r="W19" s="93"/>
      <c r="X19" s="305">
        <f t="shared" si="2"/>
        <v>2</v>
      </c>
      <c r="Z19" s="74">
        <v>23</v>
      </c>
      <c r="AA19" s="345">
        <f>101+202</f>
        <v>303</v>
      </c>
    </row>
    <row r="20" spans="1:27">
      <c r="A20" s="60" t="s">
        <v>6</v>
      </c>
      <c r="B20" s="60">
        <f t="shared" ref="B20:O20" si="4">SUM(B6:B19)</f>
        <v>0</v>
      </c>
      <c r="C20" s="60">
        <f t="shared" si="4"/>
        <v>0</v>
      </c>
      <c r="D20" s="60">
        <f t="shared" si="4"/>
        <v>0</v>
      </c>
      <c r="E20" s="60">
        <f t="shared" si="4"/>
        <v>0</v>
      </c>
      <c r="F20" s="60">
        <f t="shared" si="4"/>
        <v>0</v>
      </c>
      <c r="G20" s="60">
        <f t="shared" si="4"/>
        <v>0</v>
      </c>
      <c r="H20" s="60">
        <f t="shared" si="4"/>
        <v>0</v>
      </c>
      <c r="I20" s="60">
        <f t="shared" si="4"/>
        <v>0</v>
      </c>
      <c r="J20" s="60">
        <f t="shared" si="4"/>
        <v>0</v>
      </c>
      <c r="K20" s="60">
        <f t="shared" si="4"/>
        <v>512</v>
      </c>
      <c r="L20" s="60">
        <f t="shared" si="4"/>
        <v>592</v>
      </c>
      <c r="M20" s="60">
        <f t="shared" si="4"/>
        <v>58</v>
      </c>
      <c r="N20" s="60">
        <f t="shared" si="4"/>
        <v>55</v>
      </c>
      <c r="O20" s="60">
        <f t="shared" si="4"/>
        <v>0</v>
      </c>
      <c r="P20" s="372">
        <f t="shared" si="0"/>
        <v>1217</v>
      </c>
      <c r="Q20" s="382">
        <f>1563+44+26+48+23+18+56+38</f>
        <v>1816</v>
      </c>
      <c r="R20" s="126" t="s">
        <v>57</v>
      </c>
      <c r="S20" s="298">
        <f>J32+J33+J34+J36+J37</f>
        <v>55</v>
      </c>
      <c r="T20" s="298">
        <f>J38-S20</f>
        <v>72</v>
      </c>
      <c r="U20" s="60"/>
      <c r="V20" s="305">
        <f>บัณฑิตศึกษา!I32</f>
        <v>0</v>
      </c>
      <c r="W20" s="93"/>
      <c r="X20" s="305">
        <f t="shared" si="2"/>
        <v>127</v>
      </c>
      <c r="Y20" s="306"/>
      <c r="Z20" s="306"/>
    </row>
    <row r="21" spans="1:27">
      <c r="A21" s="257" t="s">
        <v>188</v>
      </c>
      <c r="B21" s="257"/>
      <c r="C21" s="257"/>
      <c r="D21" s="257"/>
      <c r="E21" s="257"/>
      <c r="F21" s="271"/>
      <c r="G21" s="347"/>
      <c r="H21" s="271"/>
      <c r="I21" s="271"/>
      <c r="J21" s="271"/>
      <c r="K21" s="271"/>
      <c r="L21" s="271"/>
      <c r="M21" s="271"/>
      <c r="N21" s="271"/>
      <c r="O21" s="271"/>
      <c r="P21" s="259"/>
      <c r="Q21" s="47">
        <f>1844-1816</f>
        <v>28</v>
      </c>
      <c r="R21" s="129" t="s">
        <v>6</v>
      </c>
      <c r="S21" s="49">
        <f t="shared" ref="S21:X21" si="5">SUM(S14:S20)</f>
        <v>55</v>
      </c>
      <c r="T21" s="49">
        <f t="shared" si="5"/>
        <v>109</v>
      </c>
      <c r="U21" s="49">
        <f t="shared" si="5"/>
        <v>0</v>
      </c>
      <c r="V21" s="49">
        <f t="shared" si="5"/>
        <v>78</v>
      </c>
      <c r="W21" s="49">
        <f t="shared" si="5"/>
        <v>1</v>
      </c>
      <c r="X21" s="49">
        <f t="shared" si="5"/>
        <v>243</v>
      </c>
    </row>
    <row r="22" spans="1:27">
      <c r="A22" s="223" t="s">
        <v>189</v>
      </c>
      <c r="B22" s="67"/>
      <c r="C22" s="67"/>
      <c r="D22" s="67"/>
      <c r="E22" s="223">
        <v>17</v>
      </c>
      <c r="F22" s="348">
        <v>3</v>
      </c>
      <c r="H22" s="349"/>
      <c r="I22" s="373"/>
      <c r="J22" s="369">
        <f>SUM(B22:I22)</f>
        <v>20</v>
      </c>
      <c r="K22" s="261"/>
      <c r="L22" s="261"/>
      <c r="M22" s="261"/>
      <c r="N22" s="261"/>
      <c r="O22" s="261"/>
      <c r="P22" s="269">
        <f>SUM(J22:O22)</f>
        <v>20</v>
      </c>
      <c r="R22" s="129" t="s">
        <v>21</v>
      </c>
      <c r="S22" s="299">
        <f>SUM(S13,S21)</f>
        <v>525</v>
      </c>
      <c r="T22" s="299">
        <f t="shared" ref="T22:X22" si="6">SUM(T13,T21)</f>
        <v>982</v>
      </c>
      <c r="U22" s="299">
        <f t="shared" si="6"/>
        <v>0</v>
      </c>
      <c r="V22" s="299">
        <f t="shared" si="6"/>
        <v>627</v>
      </c>
      <c r="W22" s="299">
        <f t="shared" si="6"/>
        <v>193</v>
      </c>
      <c r="X22" s="299">
        <f t="shared" si="6"/>
        <v>2327</v>
      </c>
    </row>
    <row r="23" spans="1:27">
      <c r="A23" s="223" t="s">
        <v>316</v>
      </c>
      <c r="B23" s="223">
        <v>14</v>
      </c>
      <c r="C23" s="67"/>
      <c r="D23" s="67"/>
      <c r="E23" s="67"/>
      <c r="F23" s="268"/>
      <c r="G23" s="350"/>
      <c r="H23" s="351"/>
      <c r="I23" s="287"/>
      <c r="J23" s="253">
        <f t="shared" ref="J23:J37" si="7">SUM(B23:I23)</f>
        <v>14</v>
      </c>
      <c r="K23" s="268"/>
      <c r="L23" s="268"/>
      <c r="M23" s="268"/>
      <c r="N23" s="268"/>
      <c r="O23" s="268"/>
      <c r="P23" s="269">
        <f>SUM(J23:O23)</f>
        <v>14</v>
      </c>
      <c r="S23" s="879">
        <f>S22+T22+U22</f>
        <v>1507</v>
      </c>
      <c r="T23" s="880"/>
      <c r="U23" s="881"/>
      <c r="V23" s="307">
        <f>V22+W22</f>
        <v>820</v>
      </c>
      <c r="W23" s="307">
        <f>S10</f>
        <v>220</v>
      </c>
      <c r="X23" s="307">
        <f>SUM(V23:W23)</f>
        <v>1040</v>
      </c>
      <c r="Y23" s="235">
        <f>'ปกติ (2)'!I135+'ปกติ (2)'!I136</f>
        <v>35</v>
      </c>
      <c r="Z23" s="308">
        <f>SUM(X23:Y23)</f>
        <v>1075</v>
      </c>
    </row>
    <row r="24" spans="1:27">
      <c r="A24" s="223" t="s">
        <v>193</v>
      </c>
      <c r="B24" s="67"/>
      <c r="C24" s="67"/>
      <c r="D24" s="67"/>
      <c r="E24" s="67"/>
      <c r="F24" s="261"/>
      <c r="G24" s="265"/>
      <c r="H24" s="268"/>
      <c r="I24" s="268"/>
      <c r="J24" s="253">
        <f t="shared" si="7"/>
        <v>0</v>
      </c>
      <c r="K24" s="261"/>
      <c r="L24" s="261"/>
      <c r="M24" s="261"/>
      <c r="N24" s="261"/>
      <c r="O24" s="261"/>
      <c r="P24" s="269">
        <f t="shared" ref="P24:P84" si="8">SUM(J24:O24)</f>
        <v>0</v>
      </c>
      <c r="R24" s="47" t="s">
        <v>317</v>
      </c>
      <c r="W24" s="309">
        <f>S23+V23+W23</f>
        <v>2547</v>
      </c>
    </row>
    <row r="25" spans="1:27" hidden="1">
      <c r="A25" s="67" t="s">
        <v>195</v>
      </c>
      <c r="B25" s="67"/>
      <c r="C25" s="67"/>
      <c r="D25" s="67"/>
      <c r="E25" s="67"/>
      <c r="F25" s="268"/>
      <c r="G25" s="265"/>
      <c r="H25" s="268"/>
      <c r="I25" s="268"/>
      <c r="J25" s="253">
        <f t="shared" si="7"/>
        <v>0</v>
      </c>
      <c r="K25" s="268"/>
      <c r="L25" s="268"/>
      <c r="M25" s="268"/>
      <c r="N25" s="268"/>
      <c r="O25" s="268"/>
      <c r="P25" s="269"/>
    </row>
    <row r="26" spans="1:27" hidden="1">
      <c r="A26" s="67" t="s">
        <v>196</v>
      </c>
      <c r="B26" s="67"/>
      <c r="C26" s="67"/>
      <c r="D26" s="67"/>
      <c r="E26" s="67"/>
      <c r="F26" s="268"/>
      <c r="G26" s="352"/>
      <c r="H26" s="268"/>
      <c r="I26" s="268"/>
      <c r="J26" s="253">
        <f t="shared" si="7"/>
        <v>0</v>
      </c>
      <c r="K26" s="268"/>
      <c r="L26" s="268"/>
      <c r="M26" s="268"/>
      <c r="N26" s="268"/>
      <c r="O26" s="268"/>
      <c r="P26" s="269"/>
    </row>
    <row r="27" spans="1:27" hidden="1">
      <c r="A27" s="67" t="s">
        <v>197</v>
      </c>
      <c r="B27" s="67"/>
      <c r="C27" s="67"/>
      <c r="D27" s="67"/>
      <c r="E27" s="67"/>
      <c r="F27" s="268"/>
      <c r="G27" s="352"/>
      <c r="H27" s="268"/>
      <c r="I27" s="268"/>
      <c r="J27" s="253">
        <f t="shared" si="7"/>
        <v>0</v>
      </c>
      <c r="K27" s="374"/>
      <c r="L27" s="374"/>
      <c r="M27" s="268"/>
      <c r="N27" s="268"/>
      <c r="O27" s="268"/>
      <c r="P27" s="269">
        <f>SUM(J27:O27)</f>
        <v>0</v>
      </c>
    </row>
    <row r="28" spans="1:27" hidden="1">
      <c r="A28" s="67" t="s">
        <v>198</v>
      </c>
      <c r="B28" s="67"/>
      <c r="C28" s="67"/>
      <c r="D28" s="67"/>
      <c r="E28" s="67"/>
      <c r="F28" s="268"/>
      <c r="G28" s="352"/>
      <c r="H28" s="268"/>
      <c r="I28" s="268"/>
      <c r="J28" s="253">
        <f t="shared" si="7"/>
        <v>0</v>
      </c>
      <c r="K28" s="374"/>
      <c r="L28" s="374"/>
      <c r="M28" s="268"/>
      <c r="N28" s="268"/>
      <c r="O28" s="268"/>
      <c r="P28" s="269">
        <f t="shared" si="8"/>
        <v>0</v>
      </c>
    </row>
    <row r="29" spans="1:27" hidden="1">
      <c r="A29" s="67" t="s">
        <v>199</v>
      </c>
      <c r="B29" s="67"/>
      <c r="C29" s="67"/>
      <c r="D29" s="67"/>
      <c r="E29" s="67"/>
      <c r="F29" s="268"/>
      <c r="G29" s="352"/>
      <c r="H29" s="268"/>
      <c r="I29" s="268"/>
      <c r="J29" s="253">
        <f t="shared" si="7"/>
        <v>0</v>
      </c>
      <c r="K29" s="374"/>
      <c r="L29" s="374"/>
      <c r="M29" s="268"/>
      <c r="N29" s="268"/>
      <c r="O29" s="268"/>
      <c r="P29" s="269">
        <f t="shared" si="8"/>
        <v>0</v>
      </c>
    </row>
    <row r="30" spans="1:27">
      <c r="A30" s="223" t="s">
        <v>318</v>
      </c>
      <c r="B30" s="223">
        <v>13</v>
      </c>
      <c r="C30" s="223">
        <v>11</v>
      </c>
      <c r="D30" s="223"/>
      <c r="E30" s="223"/>
      <c r="F30" s="348"/>
      <c r="G30" s="353"/>
      <c r="H30" s="354"/>
      <c r="I30" s="354"/>
      <c r="J30" s="369">
        <f t="shared" si="7"/>
        <v>24</v>
      </c>
      <c r="K30" s="261"/>
      <c r="L30" s="261"/>
      <c r="M30" s="261"/>
      <c r="N30" s="261"/>
      <c r="O30" s="261"/>
      <c r="P30" s="269">
        <f t="shared" ref="P30" si="9">SUM(J30:O30)</f>
        <v>24</v>
      </c>
      <c r="R30" s="47" t="s">
        <v>317</v>
      </c>
      <c r="W30" s="309">
        <f>S10+V22+W22</f>
        <v>1040</v>
      </c>
    </row>
    <row r="31" spans="1:27">
      <c r="A31" s="223" t="s">
        <v>319</v>
      </c>
      <c r="B31" s="223">
        <v>14</v>
      </c>
      <c r="C31" s="67"/>
      <c r="D31" s="67"/>
      <c r="E31" s="67"/>
      <c r="F31" s="261"/>
      <c r="G31" s="265"/>
      <c r="H31" s="354"/>
      <c r="I31" s="354"/>
      <c r="J31" s="369">
        <f t="shared" si="7"/>
        <v>14</v>
      </c>
      <c r="K31" s="261"/>
      <c r="L31" s="261"/>
      <c r="M31" s="261"/>
      <c r="N31" s="261"/>
      <c r="O31" s="261"/>
      <c r="P31" s="269"/>
      <c r="W31" s="309"/>
    </row>
    <row r="32" spans="1:27">
      <c r="A32" s="223" t="s">
        <v>200</v>
      </c>
      <c r="B32" s="67"/>
      <c r="C32" s="223">
        <v>7</v>
      </c>
      <c r="D32" s="223"/>
      <c r="E32" s="223"/>
      <c r="F32" s="348">
        <v>1</v>
      </c>
      <c r="G32" s="353"/>
      <c r="H32" s="354"/>
      <c r="I32" s="354"/>
      <c r="J32" s="369">
        <f t="shared" si="7"/>
        <v>8</v>
      </c>
      <c r="K32" s="261"/>
      <c r="L32" s="261"/>
      <c r="M32" s="261"/>
      <c r="N32" s="261"/>
      <c r="O32" s="261"/>
      <c r="P32" s="269">
        <f t="shared" si="8"/>
        <v>8</v>
      </c>
      <c r="R32" s="46" t="s">
        <v>320</v>
      </c>
      <c r="U32" s="301">
        <f>S23-S10</f>
        <v>1287</v>
      </c>
      <c r="V32" s="301">
        <f>S22-S10</f>
        <v>305</v>
      </c>
      <c r="Y32" s="47">
        <f>SUM(W32:X32)</f>
        <v>0</v>
      </c>
    </row>
    <row r="33" spans="1:23">
      <c r="A33" s="223" t="s">
        <v>202</v>
      </c>
      <c r="B33" s="223">
        <v>14</v>
      </c>
      <c r="C33" s="223">
        <v>21</v>
      </c>
      <c r="D33" s="223">
        <v>5</v>
      </c>
      <c r="E33" s="223">
        <v>3</v>
      </c>
      <c r="F33" s="354">
        <v>1</v>
      </c>
      <c r="G33" s="355"/>
      <c r="H33" s="354"/>
      <c r="I33" s="354"/>
      <c r="J33" s="369">
        <f t="shared" si="7"/>
        <v>44</v>
      </c>
      <c r="K33" s="268"/>
      <c r="L33" s="268"/>
      <c r="M33" s="268"/>
      <c r="N33" s="268"/>
      <c r="O33" s="268"/>
      <c r="P33" s="269">
        <f t="shared" si="8"/>
        <v>44</v>
      </c>
      <c r="W33" s="301">
        <f>S13+T13+U13</f>
        <v>1343</v>
      </c>
    </row>
    <row r="34" spans="1:23" hidden="1">
      <c r="A34" s="67" t="s">
        <v>203</v>
      </c>
      <c r="B34" s="67"/>
      <c r="C34" s="67"/>
      <c r="D34" s="67"/>
      <c r="E34" s="67"/>
      <c r="F34" s="268"/>
      <c r="G34" s="352"/>
      <c r="H34" s="268"/>
      <c r="I34" s="268"/>
      <c r="J34" s="253">
        <f t="shared" si="7"/>
        <v>0</v>
      </c>
      <c r="K34" s="268"/>
      <c r="L34" s="268"/>
      <c r="M34" s="268"/>
      <c r="N34" s="268"/>
      <c r="O34" s="268"/>
      <c r="P34" s="269">
        <f t="shared" si="8"/>
        <v>0</v>
      </c>
      <c r="U34" s="301"/>
    </row>
    <row r="35" spans="1:23">
      <c r="A35" s="223" t="s">
        <v>204</v>
      </c>
      <c r="B35" s="67"/>
      <c r="C35" s="67"/>
      <c r="D35" s="67"/>
      <c r="E35" s="67"/>
      <c r="F35" s="268"/>
      <c r="G35" s="352"/>
      <c r="H35" s="354"/>
      <c r="I35" s="354"/>
      <c r="J35" s="369">
        <f t="shared" ref="J35" si="10">SUM(B35:I35)</f>
        <v>0</v>
      </c>
      <c r="K35" s="268"/>
      <c r="L35" s="268"/>
      <c r="M35" s="268"/>
      <c r="N35" s="268"/>
      <c r="O35" s="268"/>
      <c r="P35" s="269">
        <f t="shared" ref="P35" si="11">SUM(J35:O35)</f>
        <v>0</v>
      </c>
      <c r="S35" s="301">
        <f>S21-213</f>
        <v>-158</v>
      </c>
    </row>
    <row r="36" spans="1:23">
      <c r="A36" s="223" t="s">
        <v>321</v>
      </c>
      <c r="B36" s="67"/>
      <c r="C36" s="67"/>
      <c r="D36" s="67"/>
      <c r="E36" s="67"/>
      <c r="F36" s="268"/>
      <c r="G36" s="352"/>
      <c r="H36" s="268"/>
      <c r="I36" s="268"/>
      <c r="J36" s="253">
        <f t="shared" si="7"/>
        <v>0</v>
      </c>
      <c r="K36" s="268"/>
      <c r="L36" s="268"/>
      <c r="M36" s="268"/>
      <c r="N36" s="268"/>
      <c r="O36" s="268"/>
      <c r="P36" s="269">
        <f t="shared" si="8"/>
        <v>0</v>
      </c>
      <c r="S36" s="301">
        <f>S22-213</f>
        <v>312</v>
      </c>
    </row>
    <row r="37" spans="1:23">
      <c r="A37" s="223" t="s">
        <v>205</v>
      </c>
      <c r="B37" s="67"/>
      <c r="C37" s="67"/>
      <c r="D37" s="67"/>
      <c r="E37" s="223">
        <v>3</v>
      </c>
      <c r="F37" s="268"/>
      <c r="G37" s="352"/>
      <c r="H37" s="356"/>
      <c r="I37" s="375"/>
      <c r="J37" s="354">
        <f t="shared" si="7"/>
        <v>3</v>
      </c>
      <c r="K37" s="374"/>
      <c r="L37" s="374"/>
      <c r="M37" s="268"/>
      <c r="N37" s="268"/>
      <c r="O37" s="268"/>
      <c r="P37" s="269">
        <f t="shared" si="8"/>
        <v>3</v>
      </c>
    </row>
    <row r="38" spans="1:23">
      <c r="A38" s="60" t="s">
        <v>6</v>
      </c>
      <c r="B38" s="234">
        <f t="shared" ref="B38:J38" si="12">SUM(B22:B37)</f>
        <v>55</v>
      </c>
      <c r="C38" s="234">
        <f t="shared" si="12"/>
        <v>39</v>
      </c>
      <c r="D38" s="234">
        <f t="shared" si="12"/>
        <v>5</v>
      </c>
      <c r="E38" s="234">
        <f t="shared" si="12"/>
        <v>23</v>
      </c>
      <c r="F38" s="234">
        <f t="shared" si="12"/>
        <v>5</v>
      </c>
      <c r="G38" s="234">
        <f t="shared" si="12"/>
        <v>0</v>
      </c>
      <c r="H38" s="234">
        <f t="shared" si="12"/>
        <v>0</v>
      </c>
      <c r="I38" s="234">
        <f t="shared" si="12"/>
        <v>0</v>
      </c>
      <c r="J38" s="234">
        <f t="shared" si="12"/>
        <v>127</v>
      </c>
      <c r="K38" s="234">
        <f>SUM(K24:K25)</f>
        <v>0</v>
      </c>
      <c r="L38" s="234">
        <f>SUM(L24:L25)</f>
        <v>0</v>
      </c>
      <c r="M38" s="234">
        <f>SUM(M24:M25)</f>
        <v>0</v>
      </c>
      <c r="N38" s="234">
        <f>SUM(N24:N25)</f>
        <v>0</v>
      </c>
      <c r="O38" s="234">
        <f>SUM(O24:O25)</f>
        <v>0</v>
      </c>
      <c r="P38" s="372">
        <f t="shared" si="8"/>
        <v>127</v>
      </c>
      <c r="Q38" s="383">
        <f>138+24+17</f>
        <v>179</v>
      </c>
      <c r="R38" s="302"/>
      <c r="S38" s="302"/>
      <c r="T38" s="302"/>
      <c r="U38" s="302"/>
      <c r="W38" s="312"/>
    </row>
    <row r="39" spans="1:23">
      <c r="A39" s="357" t="s">
        <v>70</v>
      </c>
      <c r="B39" s="357"/>
      <c r="C39" s="357"/>
      <c r="D39" s="357"/>
      <c r="E39" s="357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269">
        <f t="shared" si="8"/>
        <v>0</v>
      </c>
    </row>
    <row r="40" spans="1:23">
      <c r="A40" s="359" t="s">
        <v>207</v>
      </c>
      <c r="B40" s="359"/>
      <c r="C40" s="359"/>
      <c r="D40" s="359">
        <v>15</v>
      </c>
      <c r="E40" s="359">
        <v>15</v>
      </c>
      <c r="F40" s="360">
        <v>5</v>
      </c>
      <c r="G40" s="360"/>
      <c r="H40" s="360"/>
      <c r="I40" s="360"/>
      <c r="J40" s="360">
        <f>SUM(B40:I40)</f>
        <v>35</v>
      </c>
      <c r="K40" s="271"/>
      <c r="L40" s="271"/>
      <c r="M40" s="271"/>
      <c r="N40" s="376">
        <v>26</v>
      </c>
      <c r="O40" s="376"/>
      <c r="P40" s="269">
        <f t="shared" si="8"/>
        <v>61</v>
      </c>
      <c r="V40" s="313"/>
    </row>
    <row r="41" spans="1:23" hidden="1">
      <c r="A41" s="71" t="s">
        <v>72</v>
      </c>
      <c r="B41" s="71"/>
      <c r="C41" s="71"/>
      <c r="D41" s="71"/>
      <c r="E41" s="71"/>
      <c r="F41" s="261"/>
      <c r="G41" s="261"/>
      <c r="H41" s="261"/>
      <c r="I41" s="261"/>
      <c r="J41" s="261">
        <f>SUM(C41:I41)</f>
        <v>0</v>
      </c>
      <c r="K41" s="261"/>
      <c r="L41" s="261"/>
      <c r="M41" s="261"/>
      <c r="N41" s="377">
        <v>12</v>
      </c>
      <c r="O41" s="261"/>
      <c r="P41" s="269">
        <f t="shared" si="8"/>
        <v>12</v>
      </c>
    </row>
    <row r="42" spans="1:23">
      <c r="A42" s="361" t="s">
        <v>6</v>
      </c>
      <c r="B42" s="234">
        <f t="shared" ref="B42:O42" si="13">SUM(B40:B41)</f>
        <v>0</v>
      </c>
      <c r="C42" s="234">
        <f t="shared" si="13"/>
        <v>0</v>
      </c>
      <c r="D42" s="234">
        <f t="shared" si="13"/>
        <v>15</v>
      </c>
      <c r="E42" s="234">
        <f t="shared" si="13"/>
        <v>15</v>
      </c>
      <c r="F42" s="234">
        <f t="shared" si="13"/>
        <v>5</v>
      </c>
      <c r="G42" s="234">
        <f t="shared" si="13"/>
        <v>0</v>
      </c>
      <c r="H42" s="234">
        <f t="shared" si="13"/>
        <v>0</v>
      </c>
      <c r="I42" s="234">
        <f t="shared" si="13"/>
        <v>0</v>
      </c>
      <c r="J42" s="234">
        <f t="shared" si="13"/>
        <v>35</v>
      </c>
      <c r="K42" s="234">
        <f t="shared" si="13"/>
        <v>0</v>
      </c>
      <c r="L42" s="234">
        <f t="shared" si="13"/>
        <v>0</v>
      </c>
      <c r="M42" s="234">
        <f t="shared" si="13"/>
        <v>0</v>
      </c>
      <c r="N42" s="234">
        <f t="shared" si="13"/>
        <v>38</v>
      </c>
      <c r="O42" s="234">
        <f t="shared" si="13"/>
        <v>0</v>
      </c>
      <c r="P42" s="372">
        <f t="shared" si="8"/>
        <v>73</v>
      </c>
      <c r="R42" s="302"/>
      <c r="S42" s="302"/>
      <c r="T42" s="302"/>
    </row>
    <row r="43" spans="1:23">
      <c r="A43" s="357" t="s">
        <v>108</v>
      </c>
      <c r="B43" s="357"/>
      <c r="C43" s="357"/>
      <c r="D43" s="357"/>
      <c r="E43" s="357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269">
        <f t="shared" si="8"/>
        <v>0</v>
      </c>
    </row>
    <row r="44" spans="1:23">
      <c r="A44" s="359" t="s">
        <v>55</v>
      </c>
      <c r="B44" s="359"/>
      <c r="C44" s="359"/>
      <c r="D44" s="359"/>
      <c r="E44" s="359"/>
      <c r="F44" s="360">
        <v>2</v>
      </c>
      <c r="G44" s="360"/>
      <c r="H44" s="360"/>
      <c r="I44" s="360"/>
      <c r="J44" s="360">
        <f>SUM(B44:I44)</f>
        <v>2</v>
      </c>
      <c r="K44" s="271"/>
      <c r="L44" s="271"/>
      <c r="M44" s="271"/>
      <c r="N44" s="376">
        <v>26</v>
      </c>
      <c r="O44" s="376"/>
      <c r="P44" s="269">
        <f t="shared" si="8"/>
        <v>28</v>
      </c>
      <c r="V44" s="313"/>
    </row>
    <row r="45" spans="1:23">
      <c r="A45" s="71"/>
      <c r="B45" s="71"/>
      <c r="C45" s="71"/>
      <c r="D45" s="71"/>
      <c r="E45" s="71"/>
      <c r="F45" s="261"/>
      <c r="G45" s="261"/>
      <c r="H45" s="261"/>
      <c r="I45" s="261"/>
      <c r="J45" s="261"/>
      <c r="K45" s="261"/>
      <c r="L45" s="261"/>
      <c r="M45" s="261"/>
      <c r="N45" s="377"/>
      <c r="O45" s="261"/>
      <c r="P45" s="269"/>
    </row>
    <row r="46" spans="1:23">
      <c r="A46" s="60" t="s">
        <v>6</v>
      </c>
      <c r="B46" s="234">
        <f t="shared" ref="B46:O46" si="14">SUM(B44:B45)</f>
        <v>0</v>
      </c>
      <c r="C46" s="234">
        <f t="shared" si="14"/>
        <v>0</v>
      </c>
      <c r="D46" s="234">
        <f t="shared" si="14"/>
        <v>0</v>
      </c>
      <c r="E46" s="234">
        <f t="shared" si="14"/>
        <v>0</v>
      </c>
      <c r="F46" s="234">
        <f t="shared" si="14"/>
        <v>2</v>
      </c>
      <c r="G46" s="234">
        <f t="shared" si="14"/>
        <v>0</v>
      </c>
      <c r="H46" s="234">
        <f t="shared" si="14"/>
        <v>0</v>
      </c>
      <c r="I46" s="234">
        <f t="shared" si="14"/>
        <v>0</v>
      </c>
      <c r="J46" s="234">
        <f t="shared" si="14"/>
        <v>2</v>
      </c>
      <c r="K46" s="234">
        <f t="shared" si="14"/>
        <v>0</v>
      </c>
      <c r="L46" s="234">
        <f t="shared" si="14"/>
        <v>0</v>
      </c>
      <c r="M46" s="234">
        <f t="shared" si="14"/>
        <v>0</v>
      </c>
      <c r="N46" s="234">
        <f t="shared" si="14"/>
        <v>26</v>
      </c>
      <c r="O46" s="234">
        <f t="shared" si="14"/>
        <v>0</v>
      </c>
      <c r="P46" s="372">
        <f t="shared" si="8"/>
        <v>28</v>
      </c>
      <c r="R46" s="302"/>
      <c r="S46" s="302"/>
      <c r="T46" s="302"/>
    </row>
    <row r="47" spans="1:23">
      <c r="A47" s="357" t="s">
        <v>125</v>
      </c>
      <c r="B47" s="357"/>
      <c r="C47" s="357"/>
      <c r="D47" s="357"/>
      <c r="E47" s="357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269">
        <f t="shared" si="8"/>
        <v>0</v>
      </c>
    </row>
    <row r="48" spans="1:23" hidden="1">
      <c r="A48" s="270" t="s">
        <v>208</v>
      </c>
      <c r="B48" s="270"/>
      <c r="C48" s="270"/>
      <c r="D48" s="270"/>
      <c r="E48" s="270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69">
        <f t="shared" si="8"/>
        <v>0</v>
      </c>
    </row>
    <row r="49" spans="1:27">
      <c r="A49" s="226" t="s">
        <v>127</v>
      </c>
      <c r="B49" s="226">
        <v>31</v>
      </c>
      <c r="C49" s="226">
        <v>30</v>
      </c>
      <c r="D49" s="226">
        <v>26</v>
      </c>
      <c r="E49" s="226">
        <v>21</v>
      </c>
      <c r="F49" s="348">
        <f>19+7</f>
        <v>26</v>
      </c>
      <c r="G49" s="348"/>
      <c r="H49" s="348"/>
      <c r="I49" s="348"/>
      <c r="J49" s="348">
        <f>SUM(B49:I49)</f>
        <v>134</v>
      </c>
      <c r="K49" s="348"/>
      <c r="L49" s="378">
        <v>28</v>
      </c>
      <c r="M49" s="348"/>
      <c r="N49" s="348"/>
      <c r="O49" s="348"/>
      <c r="P49" s="364">
        <f t="shared" si="8"/>
        <v>162</v>
      </c>
      <c r="Q49" s="46"/>
      <c r="R49" s="46"/>
      <c r="X49" s="306"/>
      <c r="Y49" s="306">
        <f>J54+J59</f>
        <v>212</v>
      </c>
      <c r="Z49" s="306">
        <f>J58</f>
        <v>0</v>
      </c>
      <c r="AA49" s="306">
        <f>SUM(X49:Z49)</f>
        <v>212</v>
      </c>
    </row>
    <row r="50" spans="1:27" hidden="1">
      <c r="A50" s="71" t="s">
        <v>130</v>
      </c>
      <c r="B50" s="71"/>
      <c r="C50" s="71"/>
      <c r="D50" s="71"/>
      <c r="E50" s="7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9">
        <f t="shared" si="8"/>
        <v>0</v>
      </c>
    </row>
    <row r="51" spans="1:27">
      <c r="A51" s="226" t="s">
        <v>129</v>
      </c>
      <c r="B51" s="226">
        <v>18</v>
      </c>
      <c r="C51" s="226">
        <v>25</v>
      </c>
      <c r="D51" s="226">
        <v>23</v>
      </c>
      <c r="E51" s="226">
        <v>24</v>
      </c>
      <c r="F51" s="348">
        <v>1</v>
      </c>
      <c r="G51" s="348"/>
      <c r="H51" s="348"/>
      <c r="I51" s="348"/>
      <c r="J51" s="348">
        <f t="shared" ref="J51:J54" si="15">SUM(B51:I51)</f>
        <v>91</v>
      </c>
      <c r="K51" s="261"/>
      <c r="L51" s="377">
        <v>28</v>
      </c>
      <c r="M51" s="261"/>
      <c r="N51" s="261"/>
      <c r="O51" s="261"/>
      <c r="P51" s="269">
        <f t="shared" si="8"/>
        <v>119</v>
      </c>
    </row>
    <row r="52" spans="1:27" hidden="1">
      <c r="A52" s="71" t="s">
        <v>133</v>
      </c>
      <c r="B52" s="71"/>
      <c r="C52" s="71"/>
      <c r="D52" s="71"/>
      <c r="E52" s="71"/>
      <c r="F52" s="261"/>
      <c r="G52" s="261"/>
      <c r="H52" s="261"/>
      <c r="I52" s="261"/>
      <c r="J52" s="261">
        <f t="shared" si="15"/>
        <v>0</v>
      </c>
      <c r="K52" s="261"/>
      <c r="L52" s="377">
        <v>28</v>
      </c>
      <c r="M52" s="261"/>
      <c r="N52" s="261"/>
      <c r="O52" s="261"/>
      <c r="P52" s="269">
        <f t="shared" si="8"/>
        <v>28</v>
      </c>
    </row>
    <row r="53" spans="1:27">
      <c r="A53" s="226" t="s">
        <v>210</v>
      </c>
      <c r="B53" s="226">
        <v>15</v>
      </c>
      <c r="C53" s="226">
        <v>17</v>
      </c>
      <c r="D53" s="226">
        <v>14</v>
      </c>
      <c r="E53" s="226"/>
      <c r="F53" s="348">
        <v>7</v>
      </c>
      <c r="G53" s="348"/>
      <c r="H53" s="348"/>
      <c r="I53" s="348"/>
      <c r="J53" s="348">
        <f t="shared" si="15"/>
        <v>53</v>
      </c>
      <c r="K53" s="377"/>
      <c r="L53" s="377"/>
      <c r="M53" s="261"/>
      <c r="N53" s="261"/>
      <c r="O53" s="261"/>
      <c r="P53" s="269">
        <f t="shared" si="8"/>
        <v>53</v>
      </c>
      <c r="Q53" s="47" t="s">
        <v>167</v>
      </c>
    </row>
    <row r="54" spans="1:27">
      <c r="A54" s="226" t="s">
        <v>136</v>
      </c>
      <c r="B54" s="226">
        <v>42</v>
      </c>
      <c r="C54" s="226"/>
      <c r="D54" s="226">
        <v>21</v>
      </c>
      <c r="E54" s="226">
        <v>20</v>
      </c>
      <c r="F54" s="348">
        <v>7</v>
      </c>
      <c r="G54" s="348"/>
      <c r="H54" s="348"/>
      <c r="I54" s="348"/>
      <c r="J54" s="348">
        <f t="shared" si="15"/>
        <v>90</v>
      </c>
      <c r="K54" s="377">
        <v>21</v>
      </c>
      <c r="L54" s="377">
        <v>18</v>
      </c>
      <c r="M54" s="261">
        <v>1</v>
      </c>
      <c r="N54" s="261">
        <v>2</v>
      </c>
      <c r="O54" s="261"/>
      <c r="P54" s="269">
        <f t="shared" si="8"/>
        <v>132</v>
      </c>
      <c r="Q54" s="47" t="s">
        <v>167</v>
      </c>
    </row>
    <row r="55" spans="1:27" hidden="1">
      <c r="A55" s="71" t="s">
        <v>211</v>
      </c>
      <c r="B55" s="71"/>
      <c r="C55" s="71"/>
      <c r="D55" s="71"/>
      <c r="E55" s="71"/>
      <c r="F55" s="261"/>
      <c r="G55" s="261"/>
      <c r="H55" s="261"/>
      <c r="I55" s="261"/>
      <c r="J55" s="261">
        <f>SUM(C55:G55)</f>
        <v>0</v>
      </c>
      <c r="K55" s="261"/>
      <c r="L55" s="261"/>
      <c r="M55" s="261"/>
      <c r="N55" s="261"/>
      <c r="O55" s="261"/>
      <c r="P55" s="269">
        <f t="shared" si="8"/>
        <v>0</v>
      </c>
    </row>
    <row r="56" spans="1:27" hidden="1">
      <c r="A56" s="71" t="s">
        <v>133</v>
      </c>
      <c r="B56" s="71"/>
      <c r="C56" s="71"/>
      <c r="D56" s="71"/>
      <c r="E56" s="71"/>
      <c r="F56" s="261"/>
      <c r="G56" s="261"/>
      <c r="H56" s="261"/>
      <c r="I56" s="261"/>
      <c r="J56" s="261">
        <f>SUM(C56:G56)</f>
        <v>0</v>
      </c>
      <c r="K56" s="261"/>
      <c r="L56" s="261"/>
      <c r="M56" s="377">
        <v>12</v>
      </c>
      <c r="N56" s="261"/>
      <c r="O56" s="261"/>
      <c r="P56" s="269">
        <f t="shared" si="8"/>
        <v>12</v>
      </c>
    </row>
    <row r="57" spans="1:27" hidden="1">
      <c r="A57" s="71" t="s">
        <v>212</v>
      </c>
      <c r="B57" s="71"/>
      <c r="C57" s="71"/>
      <c r="D57" s="71"/>
      <c r="E57" s="71"/>
      <c r="F57" s="261"/>
      <c r="G57" s="261"/>
      <c r="H57" s="261"/>
      <c r="I57" s="261"/>
      <c r="J57" s="261">
        <f>SUM(C57:G57)</f>
        <v>0</v>
      </c>
      <c r="K57" s="379">
        <v>162</v>
      </c>
      <c r="L57" s="261"/>
      <c r="M57" s="261">
        <v>97</v>
      </c>
      <c r="N57" s="261"/>
      <c r="O57" s="261"/>
      <c r="P57" s="269">
        <f t="shared" si="8"/>
        <v>259</v>
      </c>
    </row>
    <row r="58" spans="1:27" hidden="1">
      <c r="A58" s="71" t="s">
        <v>213</v>
      </c>
      <c r="B58" s="71"/>
      <c r="C58" s="71"/>
      <c r="D58" s="71"/>
      <c r="E58" s="71"/>
      <c r="F58" s="261"/>
      <c r="G58" s="261"/>
      <c r="H58" s="261"/>
      <c r="I58" s="261"/>
      <c r="J58" s="261">
        <f>SUM(C58:I58)</f>
        <v>0</v>
      </c>
      <c r="K58" s="377">
        <v>69</v>
      </c>
      <c r="L58" s="377"/>
      <c r="M58" s="377"/>
      <c r="N58" s="377"/>
      <c r="O58" s="377"/>
      <c r="P58" s="269">
        <f t="shared" si="8"/>
        <v>69</v>
      </c>
    </row>
    <row r="59" spans="1:27">
      <c r="A59" s="362" t="s">
        <v>138</v>
      </c>
      <c r="B59" s="362"/>
      <c r="C59" s="362">
        <v>48</v>
      </c>
      <c r="D59" s="362">
        <v>41</v>
      </c>
      <c r="E59" s="362">
        <v>17</v>
      </c>
      <c r="F59" s="363">
        <v>16</v>
      </c>
      <c r="G59" s="363"/>
      <c r="H59" s="364"/>
      <c r="I59" s="364"/>
      <c r="J59" s="348">
        <f>SUM(B59:I59)</f>
        <v>122</v>
      </c>
      <c r="K59" s="380">
        <v>35</v>
      </c>
      <c r="L59" s="380">
        <v>98</v>
      </c>
      <c r="M59" s="380">
        <v>34</v>
      </c>
      <c r="N59" s="380">
        <v>14</v>
      </c>
      <c r="O59" s="380"/>
      <c r="P59" s="269">
        <f t="shared" si="8"/>
        <v>303</v>
      </c>
    </row>
    <row r="60" spans="1:27">
      <c r="A60" s="361" t="s">
        <v>6</v>
      </c>
      <c r="B60" s="234">
        <f>SUM(B48:B59)</f>
        <v>106</v>
      </c>
      <c r="C60" s="234">
        <f>SUM(C48:C59)</f>
        <v>120</v>
      </c>
      <c r="D60" s="234">
        <f t="shared" ref="D60:O60" si="16">SUM(D48:D59)</f>
        <v>125</v>
      </c>
      <c r="E60" s="234">
        <f t="shared" si="16"/>
        <v>82</v>
      </c>
      <c r="F60" s="234">
        <f t="shared" si="16"/>
        <v>57</v>
      </c>
      <c r="G60" s="234">
        <f t="shared" si="16"/>
        <v>0</v>
      </c>
      <c r="H60" s="234">
        <f t="shared" si="16"/>
        <v>0</v>
      </c>
      <c r="I60" s="234">
        <f t="shared" si="16"/>
        <v>0</v>
      </c>
      <c r="J60" s="234">
        <f t="shared" si="16"/>
        <v>490</v>
      </c>
      <c r="K60" s="234">
        <f t="shared" si="16"/>
        <v>287</v>
      </c>
      <c r="L60" s="234">
        <f t="shared" si="16"/>
        <v>200</v>
      </c>
      <c r="M60" s="234">
        <f t="shared" si="16"/>
        <v>144</v>
      </c>
      <c r="N60" s="234">
        <f t="shared" si="16"/>
        <v>16</v>
      </c>
      <c r="O60" s="234">
        <f t="shared" si="16"/>
        <v>0</v>
      </c>
      <c r="P60" s="372">
        <f t="shared" si="8"/>
        <v>1137</v>
      </c>
      <c r="Q60" s="384">
        <f>26+48+23+18+56+38</f>
        <v>209</v>
      </c>
      <c r="R60" s="302">
        <f>H60</f>
        <v>0</v>
      </c>
      <c r="S60" s="302"/>
      <c r="T60" s="302"/>
      <c r="U60" s="302"/>
      <c r="V60" s="306">
        <f>J60+J84</f>
        <v>1123</v>
      </c>
      <c r="W60" s="306">
        <f>J58+J59+J62</f>
        <v>403</v>
      </c>
    </row>
    <row r="61" spans="1:27">
      <c r="A61" s="258" t="s">
        <v>139</v>
      </c>
      <c r="B61" s="258"/>
      <c r="C61" s="258"/>
      <c r="D61" s="258"/>
      <c r="E61" s="258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69">
        <f t="shared" si="8"/>
        <v>0</v>
      </c>
    </row>
    <row r="62" spans="1:27">
      <c r="A62" s="226" t="s">
        <v>214</v>
      </c>
      <c r="B62" s="226">
        <v>42</v>
      </c>
      <c r="C62" s="226">
        <v>87</v>
      </c>
      <c r="D62" s="226">
        <v>55</v>
      </c>
      <c r="E62" s="226">
        <v>79</v>
      </c>
      <c r="F62" s="348">
        <v>18</v>
      </c>
      <c r="G62" s="348"/>
      <c r="H62" s="348"/>
      <c r="I62" s="348"/>
      <c r="J62" s="348">
        <f>SUM(B62:I64)</f>
        <v>281</v>
      </c>
      <c r="K62" s="377">
        <v>69</v>
      </c>
      <c r="L62" s="377"/>
      <c r="M62" s="377"/>
      <c r="N62" s="377"/>
      <c r="O62" s="377"/>
      <c r="P62" s="269">
        <f t="shared" si="8"/>
        <v>350</v>
      </c>
      <c r="V62" s="329" t="s">
        <v>166</v>
      </c>
      <c r="W62" s="330" t="s">
        <v>215</v>
      </c>
      <c r="X62" s="331"/>
    </row>
    <row r="63" spans="1:27" hidden="1">
      <c r="A63" s="71" t="s">
        <v>216</v>
      </c>
      <c r="B63" s="71"/>
      <c r="C63" s="71"/>
      <c r="D63" s="71"/>
      <c r="E63" s="71"/>
      <c r="F63" s="261"/>
      <c r="G63" s="261"/>
      <c r="H63" s="261"/>
      <c r="I63" s="261"/>
      <c r="J63" s="261"/>
      <c r="K63" s="377"/>
      <c r="L63" s="377">
        <v>126</v>
      </c>
      <c r="M63" s="377">
        <v>48</v>
      </c>
      <c r="N63" s="377">
        <v>49</v>
      </c>
      <c r="O63" s="377"/>
      <c r="P63" s="269">
        <f t="shared" si="8"/>
        <v>223</v>
      </c>
      <c r="V63" s="332"/>
      <c r="W63" s="333"/>
      <c r="X63" s="334"/>
    </row>
    <row r="64" spans="1:27" hidden="1">
      <c r="A64" s="71" t="s">
        <v>217</v>
      </c>
      <c r="B64" s="71"/>
      <c r="C64" s="71"/>
      <c r="D64" s="71"/>
      <c r="E64" s="71"/>
      <c r="F64" s="261"/>
      <c r="G64" s="261"/>
      <c r="H64" s="261"/>
      <c r="I64" s="261"/>
      <c r="J64" s="261"/>
      <c r="K64" s="261"/>
      <c r="L64" s="377"/>
      <c r="M64" s="261"/>
      <c r="N64" s="261"/>
      <c r="O64" s="261"/>
      <c r="P64" s="269">
        <f t="shared" si="8"/>
        <v>0</v>
      </c>
      <c r="Q64" s="47" t="s">
        <v>218</v>
      </c>
      <c r="V64" s="332"/>
      <c r="W64" s="333"/>
      <c r="X64" s="334"/>
    </row>
    <row r="65" spans="1:25">
      <c r="A65" s="71" t="s">
        <v>219</v>
      </c>
      <c r="B65" s="71"/>
      <c r="C65" s="71"/>
      <c r="D65" s="71"/>
      <c r="E65" s="71"/>
      <c r="F65" s="261"/>
      <c r="G65" s="261"/>
      <c r="H65" s="261"/>
      <c r="I65" s="261"/>
      <c r="J65" s="261">
        <f>SUM(B65:I65)</f>
        <v>0</v>
      </c>
      <c r="K65" s="377">
        <v>69</v>
      </c>
      <c r="L65" s="377"/>
      <c r="M65" s="377"/>
      <c r="N65" s="377"/>
      <c r="O65" s="377"/>
      <c r="P65" s="269">
        <f t="shared" si="8"/>
        <v>69</v>
      </c>
      <c r="V65" s="390">
        <f>J62+J65</f>
        <v>281</v>
      </c>
      <c r="W65" s="391">
        <f>J66+J68+J71+J78+J79+J81+J82</f>
        <v>195</v>
      </c>
      <c r="X65" s="392"/>
    </row>
    <row r="66" spans="1:25">
      <c r="A66" s="226" t="s">
        <v>220</v>
      </c>
      <c r="B66" s="71"/>
      <c r="C66" s="71"/>
      <c r="D66" s="71"/>
      <c r="E66" s="71"/>
      <c r="F66" s="348">
        <v>1</v>
      </c>
      <c r="G66" s="261"/>
      <c r="H66" s="348"/>
      <c r="I66" s="348"/>
      <c r="J66" s="348">
        <f>SUM(B66:I66)</f>
        <v>1</v>
      </c>
      <c r="K66" s="261"/>
      <c r="L66" s="261"/>
      <c r="M66" s="261"/>
      <c r="N66" s="261"/>
      <c r="O66" s="261"/>
      <c r="P66" s="269">
        <f t="shared" si="8"/>
        <v>1</v>
      </c>
      <c r="V66" s="321"/>
    </row>
    <row r="67" spans="1:25" hidden="1">
      <c r="A67" s="71" t="s">
        <v>221</v>
      </c>
      <c r="B67" s="71"/>
      <c r="C67" s="71"/>
      <c r="D67" s="71"/>
      <c r="E67" s="71"/>
      <c r="F67" s="261"/>
      <c r="G67" s="261"/>
      <c r="H67" s="261"/>
      <c r="I67" s="261"/>
      <c r="J67" s="261">
        <f>SUM(C67:H67)</f>
        <v>0</v>
      </c>
      <c r="K67" s="377">
        <v>128</v>
      </c>
      <c r="L67" s="377">
        <v>122</v>
      </c>
      <c r="M67" s="377">
        <v>11</v>
      </c>
      <c r="N67" s="261">
        <v>7</v>
      </c>
      <c r="O67" s="377"/>
      <c r="P67" s="269">
        <f t="shared" si="8"/>
        <v>268</v>
      </c>
      <c r="V67" s="306"/>
      <c r="Y67" s="47">
        <f>2498+60</f>
        <v>2558</v>
      </c>
    </row>
    <row r="68" spans="1:25">
      <c r="A68" s="71" t="s">
        <v>222</v>
      </c>
      <c r="B68" s="71"/>
      <c r="C68" s="71"/>
      <c r="D68" s="71"/>
      <c r="E68" s="71"/>
      <c r="F68" s="261"/>
      <c r="G68" s="261"/>
      <c r="H68" s="261"/>
      <c r="I68" s="261"/>
      <c r="J68" s="261">
        <f>SUM(B68:I68)</f>
        <v>0</v>
      </c>
      <c r="K68" s="377"/>
      <c r="L68" s="377"/>
      <c r="M68" s="377"/>
      <c r="N68" s="261"/>
      <c r="O68" s="261"/>
      <c r="P68" s="269">
        <f t="shared" si="8"/>
        <v>0</v>
      </c>
    </row>
    <row r="69" spans="1:25" hidden="1">
      <c r="A69" s="71" t="s">
        <v>223</v>
      </c>
      <c r="B69" s="71"/>
      <c r="C69" s="71"/>
      <c r="D69" s="71"/>
      <c r="E69" s="71"/>
      <c r="F69" s="261"/>
      <c r="G69" s="261"/>
      <c r="H69" s="261"/>
      <c r="I69" s="261"/>
      <c r="J69" s="261">
        <f>SUM(C69:G69)</f>
        <v>0</v>
      </c>
      <c r="K69" s="261"/>
      <c r="L69" s="377"/>
      <c r="M69" s="377"/>
      <c r="N69" s="261"/>
      <c r="O69" s="261"/>
      <c r="P69" s="269">
        <f t="shared" si="8"/>
        <v>0</v>
      </c>
      <c r="Q69" s="47" t="s">
        <v>218</v>
      </c>
    </row>
    <row r="70" spans="1:25">
      <c r="A70" s="226" t="s">
        <v>224</v>
      </c>
      <c r="B70" s="226">
        <v>58</v>
      </c>
      <c r="C70" s="226">
        <v>53</v>
      </c>
      <c r="D70" s="226">
        <v>12</v>
      </c>
      <c r="E70" s="226">
        <v>2</v>
      </c>
      <c r="F70" s="348">
        <v>3</v>
      </c>
      <c r="G70" s="348"/>
      <c r="H70" s="348"/>
      <c r="I70" s="348"/>
      <c r="J70" s="348">
        <f>SUM(B70:I70)</f>
        <v>128</v>
      </c>
      <c r="K70" s="377"/>
      <c r="L70" s="377"/>
      <c r="M70" s="377"/>
      <c r="N70" s="261"/>
      <c r="O70" s="261"/>
      <c r="P70" s="269">
        <f t="shared" ref="P70" si="17">SUM(J70:O70)</f>
        <v>128</v>
      </c>
    </row>
    <row r="71" spans="1:25">
      <c r="A71" s="226" t="s">
        <v>225</v>
      </c>
      <c r="B71" s="226"/>
      <c r="C71" s="226">
        <v>34</v>
      </c>
      <c r="D71" s="226">
        <v>24</v>
      </c>
      <c r="E71" s="226">
        <v>4</v>
      </c>
      <c r="F71" s="348">
        <v>10</v>
      </c>
      <c r="G71" s="348"/>
      <c r="H71" s="348"/>
      <c r="I71" s="348"/>
      <c r="J71" s="348">
        <f>SUM(B71:I71)</f>
        <v>72</v>
      </c>
      <c r="K71" s="377"/>
      <c r="L71" s="377"/>
      <c r="M71" s="261"/>
      <c r="N71" s="377"/>
      <c r="O71" s="261"/>
      <c r="P71" s="269">
        <f t="shared" si="8"/>
        <v>72</v>
      </c>
    </row>
    <row r="72" spans="1:25" hidden="1">
      <c r="A72" s="71" t="s">
        <v>226</v>
      </c>
      <c r="B72" s="71"/>
      <c r="C72" s="71"/>
      <c r="D72" s="71"/>
      <c r="E72" s="71"/>
      <c r="F72" s="261"/>
      <c r="G72" s="261"/>
      <c r="H72" s="261"/>
      <c r="I72" s="261"/>
      <c r="J72" s="261">
        <f t="shared" ref="J72:J77" si="18">SUM(C72:G72)</f>
        <v>0</v>
      </c>
      <c r="K72" s="377"/>
      <c r="L72" s="261"/>
      <c r="M72" s="261"/>
      <c r="N72" s="261"/>
      <c r="O72" s="261"/>
      <c r="P72" s="269">
        <f t="shared" si="8"/>
        <v>0</v>
      </c>
    </row>
    <row r="73" spans="1:25" hidden="1">
      <c r="A73" s="71" t="s">
        <v>227</v>
      </c>
      <c r="B73" s="71"/>
      <c r="C73" s="71"/>
      <c r="D73" s="71"/>
      <c r="E73" s="71"/>
      <c r="F73" s="261"/>
      <c r="G73" s="261"/>
      <c r="H73" s="261"/>
      <c r="I73" s="261"/>
      <c r="J73" s="261">
        <f t="shared" si="18"/>
        <v>0</v>
      </c>
      <c r="K73" s="377"/>
      <c r="L73" s="261"/>
      <c r="M73" s="261"/>
      <c r="N73" s="261"/>
      <c r="O73" s="261"/>
      <c r="P73" s="269">
        <f t="shared" si="8"/>
        <v>0</v>
      </c>
    </row>
    <row r="74" spans="1:25" hidden="1">
      <c r="A74" s="71" t="s">
        <v>143</v>
      </c>
      <c r="B74" s="71"/>
      <c r="C74" s="71"/>
      <c r="D74" s="71"/>
      <c r="E74" s="71"/>
      <c r="F74" s="261"/>
      <c r="G74" s="261"/>
      <c r="H74" s="261"/>
      <c r="I74" s="261"/>
      <c r="J74" s="261">
        <f t="shared" si="18"/>
        <v>0</v>
      </c>
      <c r="K74" s="261"/>
      <c r="L74" s="261"/>
      <c r="M74" s="261"/>
      <c r="N74" s="261"/>
      <c r="O74" s="261"/>
      <c r="P74" s="269">
        <f t="shared" si="8"/>
        <v>0</v>
      </c>
    </row>
    <row r="75" spans="1:25" hidden="1">
      <c r="A75" s="71" t="s">
        <v>144</v>
      </c>
      <c r="B75" s="71"/>
      <c r="C75" s="71"/>
      <c r="D75" s="71"/>
      <c r="E75" s="71"/>
      <c r="F75" s="261"/>
      <c r="G75" s="261"/>
      <c r="H75" s="261"/>
      <c r="I75" s="261"/>
      <c r="J75" s="261">
        <f t="shared" si="18"/>
        <v>0</v>
      </c>
      <c r="K75" s="261"/>
      <c r="L75" s="261"/>
      <c r="M75" s="261"/>
      <c r="N75" s="261"/>
      <c r="O75" s="261"/>
      <c r="P75" s="269">
        <f t="shared" si="8"/>
        <v>0</v>
      </c>
    </row>
    <row r="76" spans="1:25" hidden="1">
      <c r="A76" s="71" t="s">
        <v>145</v>
      </c>
      <c r="B76" s="71"/>
      <c r="C76" s="71"/>
      <c r="D76" s="71"/>
      <c r="E76" s="71"/>
      <c r="F76" s="261"/>
      <c r="G76" s="261"/>
      <c r="H76" s="261"/>
      <c r="I76" s="261"/>
      <c r="J76" s="261">
        <f t="shared" si="18"/>
        <v>0</v>
      </c>
      <c r="K76" s="261"/>
      <c r="L76" s="377">
        <v>26</v>
      </c>
      <c r="M76" s="377">
        <v>1</v>
      </c>
      <c r="N76" s="261"/>
      <c r="O76" s="261"/>
      <c r="P76" s="269">
        <f t="shared" si="8"/>
        <v>27</v>
      </c>
    </row>
    <row r="77" spans="1:25" hidden="1">
      <c r="A77" s="71" t="s">
        <v>147</v>
      </c>
      <c r="B77" s="71"/>
      <c r="C77" s="71"/>
      <c r="D77" s="71"/>
      <c r="E77" s="71"/>
      <c r="F77" s="261"/>
      <c r="G77" s="261"/>
      <c r="H77" s="261"/>
      <c r="I77" s="261"/>
      <c r="J77" s="261">
        <f t="shared" si="18"/>
        <v>0</v>
      </c>
      <c r="K77" s="261">
        <v>85</v>
      </c>
      <c r="L77" s="261">
        <v>66</v>
      </c>
      <c r="M77" s="377">
        <v>14</v>
      </c>
      <c r="N77" s="261">
        <v>7</v>
      </c>
      <c r="O77" s="261"/>
      <c r="P77" s="269">
        <f t="shared" si="8"/>
        <v>172</v>
      </c>
    </row>
    <row r="78" spans="1:25" hidden="1">
      <c r="A78" s="71" t="s">
        <v>225</v>
      </c>
      <c r="B78" s="71"/>
      <c r="C78" s="71"/>
      <c r="D78" s="71"/>
      <c r="E78" s="71"/>
      <c r="F78" s="261"/>
      <c r="G78" s="261"/>
      <c r="H78" s="261"/>
      <c r="I78" s="261"/>
      <c r="J78" s="261">
        <f>SUM(C78:H78)</f>
        <v>0</v>
      </c>
      <c r="K78" s="377"/>
      <c r="L78" s="377"/>
      <c r="M78" s="261"/>
      <c r="N78" s="377"/>
      <c r="O78" s="261"/>
      <c r="P78" s="269">
        <f t="shared" si="8"/>
        <v>0</v>
      </c>
    </row>
    <row r="79" spans="1:25" hidden="1">
      <c r="A79" s="71" t="s">
        <v>220</v>
      </c>
      <c r="B79" s="71"/>
      <c r="C79" s="71"/>
      <c r="D79" s="71"/>
      <c r="E79" s="71"/>
      <c r="F79" s="261"/>
      <c r="G79" s="261"/>
      <c r="H79" s="261"/>
      <c r="I79" s="261"/>
      <c r="J79" s="261">
        <f>SUM(C79:H79)</f>
        <v>0</v>
      </c>
      <c r="K79" s="261"/>
      <c r="L79" s="261"/>
      <c r="M79" s="261"/>
      <c r="N79" s="261"/>
      <c r="O79" s="261"/>
      <c r="P79" s="269">
        <f t="shared" si="8"/>
        <v>0</v>
      </c>
    </row>
    <row r="80" spans="1:25">
      <c r="A80" s="71" t="s">
        <v>254</v>
      </c>
      <c r="B80" s="226">
        <v>29</v>
      </c>
      <c r="C80" s="226"/>
      <c r="D80" s="226"/>
      <c r="E80" s="226"/>
      <c r="F80" s="348"/>
      <c r="G80" s="348"/>
      <c r="H80" s="348"/>
      <c r="I80" s="348"/>
      <c r="J80" s="348">
        <f>SUM(B80:I80)</f>
        <v>29</v>
      </c>
      <c r="K80" s="377">
        <v>170</v>
      </c>
      <c r="L80" s="377">
        <v>102</v>
      </c>
      <c r="M80" s="377">
        <v>9</v>
      </c>
      <c r="N80" s="261">
        <v>5</v>
      </c>
      <c r="O80" s="261"/>
      <c r="P80" s="269">
        <f t="shared" si="8"/>
        <v>315</v>
      </c>
      <c r="V80" s="306">
        <f>J67</f>
        <v>0</v>
      </c>
      <c r="W80" s="306">
        <f>J61</f>
        <v>0</v>
      </c>
    </row>
    <row r="81" spans="1:24">
      <c r="A81" s="226" t="s">
        <v>229</v>
      </c>
      <c r="B81" s="226">
        <v>41</v>
      </c>
      <c r="C81" s="226">
        <v>43</v>
      </c>
      <c r="D81" s="226">
        <v>19</v>
      </c>
      <c r="E81" s="226">
        <v>10</v>
      </c>
      <c r="F81" s="348">
        <v>9</v>
      </c>
      <c r="G81" s="348"/>
      <c r="H81" s="348"/>
      <c r="I81" s="348"/>
      <c r="J81" s="348">
        <f>SUM(B81:I81)</f>
        <v>122</v>
      </c>
      <c r="K81" s="377">
        <v>170</v>
      </c>
      <c r="L81" s="377">
        <v>102</v>
      </c>
      <c r="M81" s="377">
        <v>9</v>
      </c>
      <c r="N81" s="261">
        <v>5</v>
      </c>
      <c r="O81" s="261"/>
      <c r="P81" s="269">
        <f t="shared" si="8"/>
        <v>408</v>
      </c>
      <c r="V81" s="306">
        <f>J68</f>
        <v>0</v>
      </c>
      <c r="W81" s="306">
        <f>J62</f>
        <v>281</v>
      </c>
    </row>
    <row r="82" spans="1:24" hidden="1">
      <c r="A82" s="71" t="s">
        <v>230</v>
      </c>
      <c r="B82" s="71"/>
      <c r="C82" s="71"/>
      <c r="D82" s="71"/>
      <c r="E82" s="71"/>
      <c r="F82" s="261"/>
      <c r="G82" s="261"/>
      <c r="H82" s="261"/>
      <c r="I82" s="261"/>
      <c r="J82" s="261">
        <f>SUM(C82:H82)</f>
        <v>0</v>
      </c>
      <c r="K82" s="261"/>
      <c r="L82" s="261"/>
      <c r="M82" s="261"/>
      <c r="N82" s="261"/>
      <c r="O82" s="261"/>
      <c r="P82" s="269">
        <f t="shared" si="8"/>
        <v>0</v>
      </c>
    </row>
    <row r="83" spans="1:24" hidden="1">
      <c r="A83" s="58" t="s">
        <v>156</v>
      </c>
      <c r="B83" s="69"/>
      <c r="C83" s="69"/>
      <c r="D83" s="69"/>
      <c r="E83" s="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>
        <f t="shared" si="8"/>
        <v>0</v>
      </c>
    </row>
    <row r="84" spans="1:24">
      <c r="A84" s="60" t="s">
        <v>6</v>
      </c>
      <c r="B84" s="234">
        <f t="shared" ref="B84:G84" si="19">SUM(B62:B83)</f>
        <v>170</v>
      </c>
      <c r="C84" s="234">
        <f t="shared" si="19"/>
        <v>217</v>
      </c>
      <c r="D84" s="234">
        <f t="shared" si="19"/>
        <v>110</v>
      </c>
      <c r="E84" s="234">
        <f t="shared" si="19"/>
        <v>95</v>
      </c>
      <c r="F84" s="234">
        <f t="shared" si="19"/>
        <v>41</v>
      </c>
      <c r="G84" s="234">
        <f t="shared" si="19"/>
        <v>0</v>
      </c>
      <c r="H84" s="234">
        <f t="shared" ref="H84:O84" si="20">SUM(H62:H83)</f>
        <v>0</v>
      </c>
      <c r="I84" s="234">
        <f t="shared" si="20"/>
        <v>0</v>
      </c>
      <c r="J84" s="234">
        <f t="shared" si="20"/>
        <v>633</v>
      </c>
      <c r="K84" s="234">
        <f t="shared" si="20"/>
        <v>691</v>
      </c>
      <c r="L84" s="234">
        <f t="shared" si="20"/>
        <v>544</v>
      </c>
      <c r="M84" s="234">
        <f t="shared" si="20"/>
        <v>92</v>
      </c>
      <c r="N84" s="234">
        <f t="shared" si="20"/>
        <v>73</v>
      </c>
      <c r="O84" s="234">
        <f t="shared" si="20"/>
        <v>0</v>
      </c>
      <c r="P84" s="234">
        <f t="shared" si="8"/>
        <v>2033</v>
      </c>
      <c r="R84" s="302">
        <f>H84</f>
        <v>0</v>
      </c>
      <c r="S84" s="302"/>
      <c r="T84" s="302"/>
      <c r="V84" s="306">
        <f>J84-(V81+W81)</f>
        <v>352</v>
      </c>
      <c r="W84" s="306">
        <f>J62</f>
        <v>281</v>
      </c>
    </row>
    <row r="85" spans="1:24">
      <c r="A85" s="385" t="s">
        <v>159</v>
      </c>
      <c r="B85" s="315">
        <f t="shared" ref="B85:J85" si="21">SUM(B20,B38,B46,B60,B84,B42)</f>
        <v>331</v>
      </c>
      <c r="C85" s="315">
        <f t="shared" si="21"/>
        <v>376</v>
      </c>
      <c r="D85" s="315">
        <f t="shared" si="21"/>
        <v>255</v>
      </c>
      <c r="E85" s="315">
        <f t="shared" si="21"/>
        <v>215</v>
      </c>
      <c r="F85" s="315">
        <f t="shared" si="21"/>
        <v>110</v>
      </c>
      <c r="G85" s="315">
        <f t="shared" si="21"/>
        <v>0</v>
      </c>
      <c r="H85" s="315">
        <f t="shared" si="21"/>
        <v>0</v>
      </c>
      <c r="I85" s="315">
        <f t="shared" si="21"/>
        <v>0</v>
      </c>
      <c r="J85" s="315">
        <f t="shared" si="21"/>
        <v>1287</v>
      </c>
      <c r="K85" s="315">
        <f t="shared" ref="K85:P85" si="22">SUM(K20,K38,K46,K60,K84)</f>
        <v>1490</v>
      </c>
      <c r="L85" s="315">
        <f t="shared" si="22"/>
        <v>1336</v>
      </c>
      <c r="M85" s="315">
        <f t="shared" si="22"/>
        <v>294</v>
      </c>
      <c r="N85" s="315">
        <f t="shared" si="22"/>
        <v>170</v>
      </c>
      <c r="O85" s="315">
        <f t="shared" si="22"/>
        <v>0</v>
      </c>
      <c r="P85" s="315">
        <f t="shared" si="22"/>
        <v>4542</v>
      </c>
      <c r="Q85" s="47">
        <v>3678</v>
      </c>
      <c r="R85" s="393">
        <f>SUM(R6:R84)</f>
        <v>0</v>
      </c>
      <c r="S85" s="327"/>
      <c r="T85" s="327"/>
      <c r="W85" s="306">
        <f>F85+11+5</f>
        <v>126</v>
      </c>
      <c r="X85" s="306">
        <f>J85+16</f>
        <v>1303</v>
      </c>
    </row>
    <row r="86" spans="1:24">
      <c r="B86" s="306">
        <f>B85+บัณฑิตศึกษา!B41</f>
        <v>705</v>
      </c>
      <c r="G86" s="306">
        <f>J85+บัณฑิตศึกษา!I41</f>
        <v>2327</v>
      </c>
      <c r="J86" s="323">
        <f>S23-S10</f>
        <v>1287</v>
      </c>
      <c r="R86" s="47">
        <f>3554-329</f>
        <v>3225</v>
      </c>
    </row>
    <row r="87" spans="1:24">
      <c r="A87" s="853" t="s">
        <v>255</v>
      </c>
      <c r="B87" s="854"/>
      <c r="C87" s="854"/>
      <c r="D87" s="854"/>
      <c r="G87" s="316"/>
      <c r="H87" s="316"/>
      <c r="I87" s="316"/>
      <c r="J87" s="387">
        <v>1538</v>
      </c>
      <c r="K87" s="45"/>
      <c r="L87" s="45"/>
      <c r="M87" s="45"/>
      <c r="N87" s="45"/>
      <c r="O87" s="45"/>
      <c r="P87" s="388">
        <v>28</v>
      </c>
      <c r="Q87" s="45"/>
      <c r="R87" s="45" t="s">
        <v>322</v>
      </c>
    </row>
    <row r="88" spans="1:24">
      <c r="A88" s="386" t="s">
        <v>162</v>
      </c>
      <c r="B88" s="318"/>
      <c r="G88" s="306"/>
      <c r="J88" s="389">
        <f>J85-J87</f>
        <v>-251</v>
      </c>
      <c r="K88" s="45"/>
      <c r="L88" s="45"/>
      <c r="M88" s="45"/>
      <c r="N88" s="45"/>
      <c r="O88" s="45"/>
      <c r="P88" s="45"/>
      <c r="Q88" s="45"/>
      <c r="R88" s="45" t="s">
        <v>323</v>
      </c>
    </row>
    <row r="89" spans="1:24">
      <c r="A89" s="317"/>
      <c r="B89" s="318"/>
      <c r="J89" s="306"/>
    </row>
    <row r="90" spans="1:24">
      <c r="A90" s="319"/>
      <c r="B90" s="318"/>
    </row>
    <row r="91" spans="1:24">
      <c r="A91" s="320" t="s">
        <v>165</v>
      </c>
      <c r="B91" s="320"/>
      <c r="C91" s="306">
        <f>G20</f>
        <v>0</v>
      </c>
      <c r="J91" s="47">
        <v>1436</v>
      </c>
      <c r="V91" s="47">
        <f>3606+153</f>
        <v>3759</v>
      </c>
    </row>
    <row r="92" spans="1:24">
      <c r="A92" s="320" t="s">
        <v>166</v>
      </c>
      <c r="B92" s="320"/>
      <c r="C92" s="306">
        <f>(G38+G60+G84)-C93</f>
        <v>0</v>
      </c>
    </row>
    <row r="93" spans="1:24">
      <c r="A93" s="320" t="s">
        <v>167</v>
      </c>
      <c r="B93" s="320"/>
      <c r="C93" s="47">
        <f>V66</f>
        <v>0</v>
      </c>
      <c r="V93" s="306">
        <f>J85-V91</f>
        <v>-2472</v>
      </c>
    </row>
    <row r="94" spans="1:24">
      <c r="A94" s="320" t="s">
        <v>231</v>
      </c>
      <c r="B94" s="320"/>
      <c r="C94" s="47">
        <v>0</v>
      </c>
      <c r="J94" s="306">
        <f>J85-67</f>
        <v>1220</v>
      </c>
    </row>
    <row r="95" spans="1:24">
      <c r="A95" s="320" t="s">
        <v>168</v>
      </c>
      <c r="B95" s="320"/>
      <c r="C95" s="47">
        <f>บัณฑิตศึกษา!F44</f>
        <v>0</v>
      </c>
    </row>
    <row r="96" spans="1:24">
      <c r="A96" s="320" t="s">
        <v>169</v>
      </c>
      <c r="B96" s="320"/>
      <c r="C96" s="47">
        <f>บัณฑิตศึกษา!F45</f>
        <v>0</v>
      </c>
    </row>
    <row r="97" spans="1:5">
      <c r="C97" s="306">
        <f>SUM(C91:C96)</f>
        <v>0</v>
      </c>
    </row>
    <row r="98" spans="1:5">
      <c r="A98" s="321"/>
      <c r="B98" s="321"/>
      <c r="C98" s="321"/>
      <c r="D98" s="321"/>
    </row>
    <row r="101" spans="1:5">
      <c r="C101" s="47" t="s">
        <v>164</v>
      </c>
      <c r="D101" s="47" t="s">
        <v>163</v>
      </c>
    </row>
    <row r="102" spans="1:5">
      <c r="A102" s="320" t="s">
        <v>232</v>
      </c>
      <c r="B102" s="320"/>
    </row>
    <row r="103" spans="1:5">
      <c r="A103" s="320" t="s">
        <v>23</v>
      </c>
      <c r="B103" s="320"/>
    </row>
    <row r="104" spans="1:5">
      <c r="A104" s="320" t="s">
        <v>233</v>
      </c>
      <c r="B104" s="320"/>
      <c r="C104" s="306">
        <f>R46+R42+R38</f>
        <v>0</v>
      </c>
      <c r="D104" s="306">
        <f>R84+R60</f>
        <v>0</v>
      </c>
      <c r="E104" s="306">
        <f>SUM(C104:D104)</f>
        <v>0</v>
      </c>
    </row>
    <row r="105" spans="1:5">
      <c r="A105" s="320" t="s">
        <v>234</v>
      </c>
      <c r="B105" s="320"/>
    </row>
    <row r="106" spans="1:5">
      <c r="A106" s="320" t="s">
        <v>44</v>
      </c>
      <c r="B106" s="320"/>
    </row>
    <row r="107" spans="1:5">
      <c r="A107" s="320" t="s">
        <v>6</v>
      </c>
      <c r="B107" s="320"/>
    </row>
  </sheetData>
  <mergeCells count="11">
    <mergeCell ref="A87:D87"/>
    <mergeCell ref="A3:A4"/>
    <mergeCell ref="J2:J3"/>
    <mergeCell ref="P3:P4"/>
    <mergeCell ref="R8:R9"/>
    <mergeCell ref="A1:Q1"/>
    <mergeCell ref="C2:I2"/>
    <mergeCell ref="R6:X6"/>
    <mergeCell ref="S8:W8"/>
    <mergeCell ref="S23:U23"/>
    <mergeCell ref="X8:X9"/>
  </mergeCells>
  <printOptions horizontalCentered="1"/>
  <pageMargins left="0.62992125984252001" right="0.59055118110236204" top="0.59055118110236204" bottom="0.39370078740157499" header="0.55118110236220497" footer="0.31496062992126"/>
  <pageSetup paperSize="9" scale="92" orientation="portrait"/>
  <headerFooter alignWithMargins="0">
    <oddFooter>&amp;Cหน้าที่ &amp;P จาก &amp;N</oddFooter>
  </headerFooter>
  <rowBreaks count="1" manualBreakCount="1">
    <brk id="8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1"/>
  <sheetViews>
    <sheetView view="pageBreakPreview" zoomScale="110" zoomScaleNormal="110" workbookViewId="0">
      <pane xSplit="1" ySplit="5" topLeftCell="J6" activePane="bottomRight" state="frozen"/>
      <selection pane="topRight"/>
      <selection pane="bottomLeft"/>
      <selection pane="bottomRight" activeCell="A2" sqref="A2"/>
    </sheetView>
  </sheetViews>
  <sheetFormatPr defaultColWidth="9.140625" defaultRowHeight="21"/>
  <cols>
    <col min="1" max="1" width="58.85546875" style="47" customWidth="1"/>
    <col min="2" max="2" width="7" style="47" hidden="1" customWidth="1"/>
    <col min="3" max="3" width="6.85546875" style="47" hidden="1" customWidth="1"/>
    <col min="4" max="4" width="7" style="47" hidden="1" customWidth="1"/>
    <col min="5" max="5" width="7.28515625" style="47" hidden="1" customWidth="1"/>
    <col min="6" max="6" width="7.140625" style="47" hidden="1" customWidth="1"/>
    <col min="7" max="7" width="7.28515625" style="47" hidden="1" customWidth="1"/>
    <col min="8" max="8" width="7.7109375" style="47" hidden="1" customWidth="1"/>
    <col min="9" max="9" width="9" style="47" hidden="1" customWidth="1"/>
    <col min="10" max="10" width="10.42578125" style="48" customWidth="1"/>
    <col min="11" max="16" width="9" style="48" hidden="1" customWidth="1"/>
    <col min="17" max="17" width="8.5703125" style="48" hidden="1" customWidth="1"/>
    <col min="18" max="22" width="8.5703125" style="47" customWidth="1"/>
    <col min="23" max="23" width="26.42578125" style="47" hidden="1" customWidth="1"/>
    <col min="24" max="26" width="8.5703125" style="47" hidden="1" customWidth="1"/>
    <col min="27" max="34" width="9" style="47" hidden="1" customWidth="1"/>
    <col min="35" max="16384" width="9.140625" style="47"/>
  </cols>
  <sheetData>
    <row r="1" spans="1:34">
      <c r="A1" s="792" t="s">
        <v>431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108"/>
      <c r="X1" s="108"/>
      <c r="Y1" s="108"/>
      <c r="Z1" s="108"/>
    </row>
    <row r="2" spans="1:34">
      <c r="A2" s="108"/>
      <c r="B2" s="108"/>
      <c r="C2" s="108"/>
      <c r="D2" s="108"/>
      <c r="E2" s="108"/>
      <c r="F2" s="108"/>
      <c r="G2" s="108"/>
      <c r="H2" s="108"/>
      <c r="I2" s="108"/>
      <c r="J2" s="135"/>
      <c r="K2" s="135"/>
      <c r="L2" s="135"/>
      <c r="M2" s="135"/>
      <c r="N2" s="135"/>
      <c r="O2" s="135"/>
      <c r="P2" s="135"/>
      <c r="Q2" s="135"/>
      <c r="R2" s="108"/>
      <c r="S2" s="108"/>
      <c r="T2" s="108"/>
      <c r="U2" s="108"/>
      <c r="V2" s="108"/>
      <c r="W2" s="108"/>
      <c r="X2" s="108"/>
      <c r="Y2" s="108"/>
      <c r="Z2" s="108"/>
    </row>
    <row r="3" spans="1:34">
      <c r="A3" s="889" t="s">
        <v>31</v>
      </c>
      <c r="B3" s="248"/>
      <c r="C3" s="859" t="s">
        <v>32</v>
      </c>
      <c r="D3" s="859"/>
      <c r="E3" s="859"/>
      <c r="F3" s="859"/>
      <c r="G3" s="859"/>
      <c r="H3" s="859"/>
      <c r="I3" s="859"/>
      <c r="J3" s="890" t="s">
        <v>430</v>
      </c>
      <c r="K3" s="51"/>
      <c r="L3" s="51"/>
      <c r="M3" s="51"/>
      <c r="N3" s="51"/>
      <c r="O3" s="51"/>
      <c r="P3" s="51"/>
      <c r="Q3" s="51"/>
      <c r="R3" s="859"/>
      <c r="S3" s="859"/>
      <c r="T3" s="859"/>
      <c r="U3" s="859"/>
      <c r="V3" s="859"/>
    </row>
    <row r="4" spans="1:34">
      <c r="A4" s="889"/>
      <c r="B4" s="249">
        <v>2559</v>
      </c>
      <c r="C4" s="249">
        <v>2558</v>
      </c>
      <c r="D4" s="249">
        <v>2557</v>
      </c>
      <c r="E4" s="249">
        <v>2556</v>
      </c>
      <c r="F4" s="250">
        <v>2555</v>
      </c>
      <c r="G4" s="250">
        <v>2554</v>
      </c>
      <c r="H4" s="250">
        <v>2553</v>
      </c>
      <c r="I4" s="250">
        <v>2551</v>
      </c>
      <c r="J4" s="890"/>
      <c r="K4" s="774" t="s">
        <v>160</v>
      </c>
      <c r="L4" s="774" t="s">
        <v>174</v>
      </c>
      <c r="M4" s="774" t="s">
        <v>175</v>
      </c>
      <c r="N4" s="774" t="s">
        <v>176</v>
      </c>
      <c r="O4" s="774" t="s">
        <v>177</v>
      </c>
      <c r="P4" s="891" t="s">
        <v>6</v>
      </c>
      <c r="Q4" s="51"/>
      <c r="R4" s="775" t="s">
        <v>258</v>
      </c>
      <c r="S4" s="775" t="s">
        <v>259</v>
      </c>
      <c r="T4" s="775" t="s">
        <v>260</v>
      </c>
      <c r="U4" s="775" t="s">
        <v>261</v>
      </c>
      <c r="V4" s="775" t="s">
        <v>428</v>
      </c>
    </row>
    <row r="5" spans="1:34" ht="12.75" hidden="1" customHeight="1">
      <c r="A5" s="889"/>
      <c r="B5" s="247"/>
      <c r="C5" s="247"/>
      <c r="D5" s="247"/>
      <c r="E5" s="247"/>
      <c r="F5" s="251" t="s">
        <v>178</v>
      </c>
      <c r="G5" s="251" t="s">
        <v>178</v>
      </c>
      <c r="H5" s="251"/>
      <c r="I5" s="251"/>
      <c r="J5" s="272" t="s">
        <v>178</v>
      </c>
      <c r="K5" s="272" t="s">
        <v>178</v>
      </c>
      <c r="L5" s="272"/>
      <c r="M5" s="272"/>
      <c r="N5" s="272"/>
      <c r="O5" s="272" t="s">
        <v>179</v>
      </c>
      <c r="P5" s="891"/>
      <c r="Q5" s="51"/>
      <c r="R5" s="248"/>
      <c r="S5" s="248"/>
      <c r="T5" s="248"/>
      <c r="U5" s="248"/>
      <c r="V5" s="248"/>
    </row>
    <row r="6" spans="1:34">
      <c r="A6" s="52" t="s">
        <v>40</v>
      </c>
      <c r="B6" s="52"/>
      <c r="C6" s="52"/>
      <c r="D6" s="52"/>
      <c r="E6" s="52"/>
      <c r="F6" s="251"/>
      <c r="G6" s="251"/>
      <c r="H6" s="251"/>
      <c r="I6" s="251"/>
      <c r="J6" s="272"/>
      <c r="K6" s="272"/>
      <c r="L6" s="272"/>
      <c r="M6" s="272"/>
      <c r="N6" s="272"/>
      <c r="O6" s="272"/>
      <c r="P6" s="272"/>
      <c r="Q6" s="53"/>
      <c r="R6" s="93"/>
      <c r="S6" s="93"/>
      <c r="T6" s="93"/>
      <c r="U6" s="93"/>
      <c r="V6" s="93"/>
      <c r="W6" s="107"/>
      <c r="X6" s="108"/>
      <c r="Y6" s="108"/>
      <c r="Z6" s="108"/>
      <c r="AA6" s="108"/>
      <c r="AB6" s="108"/>
      <c r="AC6" s="108"/>
    </row>
    <row r="7" spans="1:34">
      <c r="A7" s="63" t="s">
        <v>180</v>
      </c>
      <c r="B7" s="63"/>
      <c r="C7" s="63"/>
      <c r="D7" s="63"/>
      <c r="E7" s="63"/>
      <c r="F7" s="252"/>
      <c r="G7" s="252"/>
      <c r="H7" s="252"/>
      <c r="I7" s="252"/>
      <c r="J7" s="273">
        <f t="shared" ref="J7:J15" si="0">SUM(B7:I7)</f>
        <v>0</v>
      </c>
      <c r="K7" s="274">
        <v>52</v>
      </c>
      <c r="L7" s="274">
        <v>64</v>
      </c>
      <c r="M7" s="274">
        <v>20</v>
      </c>
      <c r="N7" s="274">
        <v>54</v>
      </c>
      <c r="O7" s="274"/>
      <c r="P7" s="273">
        <f t="shared" ref="P7:P20" si="1">SUM(J7:O7)</f>
        <v>190</v>
      </c>
      <c r="Q7" s="48" t="s">
        <v>165</v>
      </c>
      <c r="R7" s="287"/>
      <c r="S7" s="287"/>
      <c r="T7" s="287"/>
      <c r="U7" s="287"/>
      <c r="V7" s="287"/>
      <c r="W7" s="794" t="s">
        <v>315</v>
      </c>
      <c r="X7" s="794"/>
      <c r="Y7" s="794"/>
      <c r="Z7" s="794"/>
      <c r="AA7" s="794"/>
      <c r="AB7" s="794"/>
      <c r="AC7" s="794"/>
    </row>
    <row r="8" spans="1:34" s="46" customFormat="1">
      <c r="A8" s="56" t="s">
        <v>181</v>
      </c>
      <c r="B8" s="56"/>
      <c r="C8" s="56"/>
      <c r="D8" s="56"/>
      <c r="E8" s="56"/>
      <c r="F8" s="253"/>
      <c r="G8" s="253"/>
      <c r="H8" s="253"/>
      <c r="I8" s="253"/>
      <c r="J8" s="275">
        <f t="shared" si="0"/>
        <v>0</v>
      </c>
      <c r="K8" s="276">
        <v>17</v>
      </c>
      <c r="L8" s="275"/>
      <c r="M8" s="275"/>
      <c r="N8" s="275"/>
      <c r="O8" s="275"/>
      <c r="P8" s="275">
        <f t="shared" si="1"/>
        <v>17</v>
      </c>
      <c r="Q8" s="288" t="s">
        <v>165</v>
      </c>
      <c r="R8" s="282"/>
      <c r="S8" s="282"/>
      <c r="T8" s="282"/>
      <c r="U8" s="282"/>
      <c r="V8" s="282"/>
      <c r="W8" s="289"/>
      <c r="X8" s="290"/>
      <c r="Y8" s="290"/>
      <c r="Z8" s="290"/>
      <c r="AA8" s="290"/>
      <c r="AB8" s="290"/>
      <c r="AC8" s="290"/>
    </row>
    <row r="9" spans="1:34">
      <c r="A9" s="56" t="s">
        <v>182</v>
      </c>
      <c r="B9" s="56"/>
      <c r="C9" s="56"/>
      <c r="D9" s="56"/>
      <c r="E9" s="56"/>
      <c r="F9" s="253"/>
      <c r="G9" s="253"/>
      <c r="H9" s="253"/>
      <c r="I9" s="253"/>
      <c r="J9" s="275">
        <f t="shared" si="0"/>
        <v>0</v>
      </c>
      <c r="K9" s="276">
        <v>27</v>
      </c>
      <c r="L9" s="275"/>
      <c r="M9" s="275"/>
      <c r="N9" s="275"/>
      <c r="O9" s="275"/>
      <c r="P9" s="275">
        <f t="shared" si="1"/>
        <v>27</v>
      </c>
      <c r="Q9" s="288" t="s">
        <v>165</v>
      </c>
      <c r="R9" s="282"/>
      <c r="S9" s="282"/>
      <c r="T9" s="282"/>
      <c r="U9" s="282"/>
      <c r="V9" s="282"/>
      <c r="W9" s="892" t="s">
        <v>38</v>
      </c>
      <c r="X9" s="871" t="s">
        <v>39</v>
      </c>
      <c r="Y9" s="871"/>
      <c r="Z9" s="871"/>
      <c r="AA9" s="871"/>
      <c r="AB9" s="871"/>
      <c r="AC9" s="875" t="s">
        <v>6</v>
      </c>
    </row>
    <row r="10" spans="1:34" s="46" customFormat="1">
      <c r="A10" s="56" t="s">
        <v>183</v>
      </c>
      <c r="B10" s="56"/>
      <c r="C10" s="56"/>
      <c r="D10" s="56"/>
      <c r="E10" s="56"/>
      <c r="F10" s="253"/>
      <c r="G10" s="253"/>
      <c r="H10" s="253"/>
      <c r="I10" s="253"/>
      <c r="J10" s="275">
        <f t="shared" si="0"/>
        <v>0</v>
      </c>
      <c r="K10" s="275">
        <v>19</v>
      </c>
      <c r="L10" s="275"/>
      <c r="M10" s="275"/>
      <c r="N10" s="275"/>
      <c r="O10" s="275"/>
      <c r="P10" s="275">
        <f t="shared" si="1"/>
        <v>19</v>
      </c>
      <c r="Q10" s="288" t="s">
        <v>167</v>
      </c>
      <c r="R10" s="282"/>
      <c r="S10" s="282"/>
      <c r="T10" s="282"/>
      <c r="U10" s="282"/>
      <c r="V10" s="282"/>
      <c r="W10" s="893"/>
      <c r="X10" s="291" t="s">
        <v>41</v>
      </c>
      <c r="Y10" s="124" t="s">
        <v>42</v>
      </c>
      <c r="Z10" s="124" t="s">
        <v>43</v>
      </c>
      <c r="AA10" s="124" t="s">
        <v>25</v>
      </c>
      <c r="AB10" s="124" t="s">
        <v>44</v>
      </c>
      <c r="AC10" s="876"/>
    </row>
    <row r="11" spans="1:34">
      <c r="A11" s="56" t="s">
        <v>184</v>
      </c>
      <c r="B11" s="56"/>
      <c r="C11" s="56"/>
      <c r="D11" s="56"/>
      <c r="E11" s="56"/>
      <c r="F11" s="253"/>
      <c r="G11" s="253"/>
      <c r="H11" s="253"/>
      <c r="I11" s="253"/>
      <c r="J11" s="275">
        <f t="shared" si="0"/>
        <v>0</v>
      </c>
      <c r="K11" s="275"/>
      <c r="L11" s="275"/>
      <c r="M11" s="275"/>
      <c r="N11" s="275"/>
      <c r="O11" s="275"/>
      <c r="P11" s="275">
        <f t="shared" si="1"/>
        <v>0</v>
      </c>
      <c r="Q11" s="288" t="s">
        <v>167</v>
      </c>
      <c r="R11" s="282"/>
      <c r="S11" s="282"/>
      <c r="T11" s="282"/>
      <c r="U11" s="282"/>
      <c r="V11" s="282"/>
      <c r="W11" s="292" t="s">
        <v>46</v>
      </c>
      <c r="X11" s="127">
        <f>บัณฑิตศึกษา!I39</f>
        <v>220</v>
      </c>
      <c r="Y11" s="127"/>
      <c r="Z11" s="127" t="e">
        <f>J20-#REF!</f>
        <v>#REF!</v>
      </c>
      <c r="AA11" s="127">
        <f>บัณฑิตศึกษา!I13</f>
        <v>449</v>
      </c>
      <c r="AB11" s="127">
        <f>บัณฑิตศึกษา!I19</f>
        <v>152</v>
      </c>
      <c r="AC11" s="127" t="e">
        <f t="shared" ref="AC11:AC20" si="2">SUM(X11:AB11)</f>
        <v>#REF!</v>
      </c>
      <c r="AH11" s="46"/>
    </row>
    <row r="12" spans="1:34">
      <c r="A12" s="56" t="s">
        <v>185</v>
      </c>
      <c r="B12" s="56"/>
      <c r="C12" s="56"/>
      <c r="D12" s="56"/>
      <c r="E12" s="56"/>
      <c r="F12" s="253"/>
      <c r="G12" s="253"/>
      <c r="H12" s="253"/>
      <c r="I12" s="253"/>
      <c r="J12" s="275">
        <f t="shared" si="0"/>
        <v>0</v>
      </c>
      <c r="K12" s="275"/>
      <c r="L12" s="275"/>
      <c r="M12" s="275"/>
      <c r="N12" s="275"/>
      <c r="O12" s="275"/>
      <c r="P12" s="275">
        <f t="shared" si="1"/>
        <v>0</v>
      </c>
      <c r="Q12" s="288"/>
      <c r="R12" s="282"/>
      <c r="S12" s="282"/>
      <c r="T12" s="282"/>
      <c r="U12" s="282"/>
      <c r="V12" s="282"/>
      <c r="W12" s="292" t="s">
        <v>48</v>
      </c>
      <c r="X12" s="127"/>
      <c r="Y12" s="127">
        <f>J65</f>
        <v>349</v>
      </c>
      <c r="Z12" s="127"/>
      <c r="AA12" s="127">
        <f>บัณฑิตศึกษา!I28</f>
        <v>14</v>
      </c>
      <c r="AB12" s="127"/>
      <c r="AC12" s="127">
        <f t="shared" si="2"/>
        <v>363</v>
      </c>
      <c r="AE12" s="47">
        <f>353+494</f>
        <v>847</v>
      </c>
    </row>
    <row r="13" spans="1:34">
      <c r="A13" s="56" t="s">
        <v>186</v>
      </c>
      <c r="B13" s="56"/>
      <c r="C13" s="56"/>
      <c r="D13" s="56"/>
      <c r="E13" s="56"/>
      <c r="F13" s="253"/>
      <c r="G13" s="253"/>
      <c r="H13" s="253"/>
      <c r="I13" s="253"/>
      <c r="J13" s="275">
        <f t="shared" si="0"/>
        <v>0</v>
      </c>
      <c r="K13" s="276"/>
      <c r="L13" s="275"/>
      <c r="M13" s="275"/>
      <c r="N13" s="275"/>
      <c r="O13" s="275"/>
      <c r="P13" s="275">
        <f t="shared" si="1"/>
        <v>0</v>
      </c>
      <c r="Q13" s="293">
        <v>526</v>
      </c>
      <c r="R13" s="282"/>
      <c r="S13" s="282"/>
      <c r="T13" s="282"/>
      <c r="U13" s="282"/>
      <c r="V13" s="282"/>
      <c r="W13" s="292" t="s">
        <v>50</v>
      </c>
      <c r="X13" s="127">
        <f>J72+J82</f>
        <v>134</v>
      </c>
      <c r="Y13" s="127">
        <f>J85-X13</f>
        <v>107</v>
      </c>
      <c r="Z13" s="127"/>
      <c r="AA13" s="127">
        <f>บัณฑิตศึกษา!I34</f>
        <v>86</v>
      </c>
      <c r="AB13" s="127">
        <f>บัณฑิตศึกษา!I35</f>
        <v>40</v>
      </c>
      <c r="AC13" s="127">
        <f t="shared" si="2"/>
        <v>367</v>
      </c>
    </row>
    <row r="14" spans="1:34">
      <c r="A14" s="56" t="s">
        <v>58</v>
      </c>
      <c r="B14" s="56"/>
      <c r="C14" s="56"/>
      <c r="D14" s="56"/>
      <c r="E14" s="56"/>
      <c r="F14" s="253"/>
      <c r="G14" s="253"/>
      <c r="H14" s="253"/>
      <c r="I14" s="253"/>
      <c r="J14" s="275">
        <f t="shared" si="0"/>
        <v>0</v>
      </c>
      <c r="K14" s="275"/>
      <c r="L14" s="275"/>
      <c r="M14" s="275"/>
      <c r="N14" s="275"/>
      <c r="O14" s="275"/>
      <c r="P14" s="275">
        <f t="shared" si="1"/>
        <v>0</v>
      </c>
      <c r="Q14" s="293">
        <v>116</v>
      </c>
      <c r="R14" s="282"/>
      <c r="S14" s="282"/>
      <c r="T14" s="282"/>
      <c r="U14" s="282"/>
      <c r="V14" s="282"/>
      <c r="W14" s="152" t="s">
        <v>6</v>
      </c>
      <c r="X14" s="49">
        <f>SUM(X11:X13)</f>
        <v>354</v>
      </c>
      <c r="Y14" s="49">
        <f t="shared" ref="Y14:AC14" si="3">SUM(Y11:Y13)</f>
        <v>456</v>
      </c>
      <c r="Z14" s="49" t="e">
        <f t="shared" si="3"/>
        <v>#REF!</v>
      </c>
      <c r="AA14" s="49">
        <f t="shared" si="3"/>
        <v>549</v>
      </c>
      <c r="AB14" s="49">
        <f t="shared" si="3"/>
        <v>192</v>
      </c>
      <c r="AC14" s="49" t="e">
        <f t="shared" si="3"/>
        <v>#REF!</v>
      </c>
      <c r="AD14" s="47">
        <v>153</v>
      </c>
      <c r="AE14" s="301" t="e">
        <f>SUM(AC14:AD14)</f>
        <v>#REF!</v>
      </c>
    </row>
    <row r="15" spans="1:34" s="46" customFormat="1">
      <c r="A15" s="254" t="s">
        <v>187</v>
      </c>
      <c r="B15" s="254"/>
      <c r="C15" s="254"/>
      <c r="D15" s="254"/>
      <c r="E15" s="254"/>
      <c r="F15" s="255"/>
      <c r="G15" s="255"/>
      <c r="H15" s="255"/>
      <c r="I15" s="255"/>
      <c r="J15" s="277">
        <f t="shared" si="0"/>
        <v>0</v>
      </c>
      <c r="K15" s="278">
        <v>24</v>
      </c>
      <c r="L15" s="277"/>
      <c r="M15" s="277"/>
      <c r="N15" s="277"/>
      <c r="O15" s="277"/>
      <c r="P15" s="273">
        <f t="shared" si="1"/>
        <v>24</v>
      </c>
      <c r="Q15" s="48"/>
      <c r="R15" s="294"/>
      <c r="S15" s="294"/>
      <c r="T15" s="294"/>
      <c r="U15" s="294"/>
      <c r="V15" s="294"/>
      <c r="W15" s="295" t="s">
        <v>53</v>
      </c>
      <c r="X15" s="117"/>
      <c r="Y15" s="117">
        <f>J45</f>
        <v>0</v>
      </c>
      <c r="Z15" s="117"/>
      <c r="AA15" s="117">
        <f>บัณฑิตศึกษา!M13</f>
        <v>78</v>
      </c>
      <c r="AB15" s="117">
        <f>บัณฑิตศึกษา!I22</f>
        <v>1</v>
      </c>
      <c r="AC15" s="117">
        <f t="shared" si="2"/>
        <v>79</v>
      </c>
    </row>
    <row r="16" spans="1:34" hidden="1">
      <c r="A16" s="56"/>
      <c r="B16" s="56"/>
      <c r="C16" s="56"/>
      <c r="D16" s="56"/>
      <c r="E16" s="56"/>
      <c r="F16" s="253"/>
      <c r="G16" s="253"/>
      <c r="H16" s="253"/>
      <c r="I16" s="253"/>
      <c r="J16" s="275"/>
      <c r="K16" s="276">
        <v>142</v>
      </c>
      <c r="L16" s="276">
        <v>334</v>
      </c>
      <c r="M16" s="276">
        <v>9</v>
      </c>
      <c r="N16" s="275">
        <v>1</v>
      </c>
      <c r="O16" s="275"/>
      <c r="P16" s="279">
        <f t="shared" si="1"/>
        <v>486</v>
      </c>
      <c r="Q16" s="48" t="s">
        <v>165</v>
      </c>
      <c r="R16" s="282"/>
      <c r="S16" s="282"/>
      <c r="T16" s="282"/>
      <c r="U16" s="282"/>
      <c r="V16" s="282"/>
      <c r="W16" s="292" t="s">
        <v>55</v>
      </c>
      <c r="X16" s="127"/>
      <c r="Y16" s="127"/>
      <c r="Z16" s="127"/>
      <c r="AA16" s="127"/>
      <c r="AB16" s="127"/>
      <c r="AC16" s="127">
        <f t="shared" si="2"/>
        <v>0</v>
      </c>
    </row>
    <row r="17" spans="1:35" hidden="1">
      <c r="A17" s="56" t="s">
        <v>49</v>
      </c>
      <c r="B17" s="56"/>
      <c r="C17" s="56"/>
      <c r="D17" s="56"/>
      <c r="E17" s="56"/>
      <c r="F17" s="253"/>
      <c r="G17" s="253"/>
      <c r="H17" s="253"/>
      <c r="I17" s="253"/>
      <c r="J17" s="275"/>
      <c r="K17" s="276">
        <v>36</v>
      </c>
      <c r="L17" s="275"/>
      <c r="M17" s="275"/>
      <c r="N17" s="275"/>
      <c r="O17" s="275"/>
      <c r="P17" s="279">
        <f t="shared" si="1"/>
        <v>36</v>
      </c>
      <c r="R17" s="282"/>
      <c r="S17" s="282"/>
      <c r="T17" s="282"/>
      <c r="U17" s="282"/>
      <c r="V17" s="282"/>
      <c r="W17" s="292" t="s">
        <v>57</v>
      </c>
      <c r="X17" s="127"/>
      <c r="Y17" s="127"/>
      <c r="Z17" s="127"/>
      <c r="AA17" s="127"/>
      <c r="AB17" s="127"/>
      <c r="AC17" s="127">
        <f t="shared" si="2"/>
        <v>0</v>
      </c>
    </row>
    <row r="18" spans="1:35" hidden="1">
      <c r="A18" s="56"/>
      <c r="B18" s="56"/>
      <c r="C18" s="56"/>
      <c r="D18" s="56"/>
      <c r="E18" s="56"/>
      <c r="F18" s="253"/>
      <c r="G18" s="253"/>
      <c r="H18" s="253"/>
      <c r="I18" s="253"/>
      <c r="J18" s="275"/>
      <c r="K18" s="276">
        <v>42</v>
      </c>
      <c r="L18" s="276">
        <v>48</v>
      </c>
      <c r="M18" s="276">
        <v>7</v>
      </c>
      <c r="N18" s="275"/>
      <c r="O18" s="275"/>
      <c r="P18" s="279">
        <f t="shared" si="1"/>
        <v>97</v>
      </c>
      <c r="Q18" s="48" t="s">
        <v>167</v>
      </c>
      <c r="R18" s="282"/>
      <c r="S18" s="282"/>
      <c r="T18" s="282"/>
      <c r="U18" s="282"/>
      <c r="V18" s="282"/>
      <c r="W18" s="296" t="s">
        <v>6</v>
      </c>
      <c r="X18" s="49"/>
      <c r="Y18" s="49"/>
      <c r="Z18" s="49"/>
      <c r="AA18" s="49"/>
      <c r="AB18" s="49"/>
      <c r="AC18" s="127">
        <f t="shared" si="2"/>
        <v>0</v>
      </c>
    </row>
    <row r="19" spans="1:35" hidden="1">
      <c r="A19" s="65" t="s">
        <v>54</v>
      </c>
      <c r="B19" s="65"/>
      <c r="C19" s="65"/>
      <c r="D19" s="65"/>
      <c r="E19" s="65"/>
      <c r="F19" s="256"/>
      <c r="G19" s="256"/>
      <c r="H19" s="256"/>
      <c r="I19" s="256"/>
      <c r="J19" s="279"/>
      <c r="K19" s="280">
        <v>36</v>
      </c>
      <c r="L19" s="279"/>
      <c r="M19" s="279"/>
      <c r="N19" s="279"/>
      <c r="O19" s="279"/>
      <c r="P19" s="279">
        <f t="shared" si="1"/>
        <v>36</v>
      </c>
      <c r="R19" s="297"/>
      <c r="S19" s="297"/>
      <c r="T19" s="297"/>
      <c r="U19" s="297"/>
      <c r="V19" s="297"/>
      <c r="W19" s="296" t="s">
        <v>21</v>
      </c>
      <c r="X19" s="49"/>
      <c r="Y19" s="49"/>
      <c r="Z19" s="49"/>
      <c r="AA19" s="49"/>
      <c r="AB19" s="49"/>
      <c r="AC19" s="49">
        <f t="shared" si="2"/>
        <v>0</v>
      </c>
    </row>
    <row r="20" spans="1:35">
      <c r="A20" s="60" t="s">
        <v>6</v>
      </c>
      <c r="B20" s="60">
        <f t="shared" ref="B20:O20" si="4">SUM(B7:B19)</f>
        <v>0</v>
      </c>
      <c r="C20" s="60">
        <f t="shared" si="4"/>
        <v>0</v>
      </c>
      <c r="D20" s="60">
        <f t="shared" si="4"/>
        <v>0</v>
      </c>
      <c r="E20" s="60">
        <f t="shared" si="4"/>
        <v>0</v>
      </c>
      <c r="F20" s="60">
        <f t="shared" si="4"/>
        <v>0</v>
      </c>
      <c r="G20" s="60">
        <f t="shared" si="4"/>
        <v>0</v>
      </c>
      <c r="H20" s="60">
        <f t="shared" si="4"/>
        <v>0</v>
      </c>
      <c r="I20" s="60">
        <f t="shared" si="4"/>
        <v>0</v>
      </c>
      <c r="J20" s="49">
        <f t="shared" si="4"/>
        <v>0</v>
      </c>
      <c r="K20" s="49">
        <f t="shared" si="4"/>
        <v>395</v>
      </c>
      <c r="L20" s="49">
        <f t="shared" si="4"/>
        <v>446</v>
      </c>
      <c r="M20" s="49">
        <f t="shared" si="4"/>
        <v>36</v>
      </c>
      <c r="N20" s="49">
        <f t="shared" si="4"/>
        <v>55</v>
      </c>
      <c r="O20" s="49">
        <f t="shared" si="4"/>
        <v>0</v>
      </c>
      <c r="P20" s="281">
        <f t="shared" si="1"/>
        <v>932</v>
      </c>
      <c r="Q20" s="49">
        <f>1563+44+26+48+23+18+56+38</f>
        <v>1816</v>
      </c>
      <c r="R20" s="60"/>
      <c r="S20" s="60"/>
      <c r="T20" s="60"/>
      <c r="U20" s="60"/>
      <c r="V20" s="60"/>
      <c r="W20" s="292" t="s">
        <v>57</v>
      </c>
      <c r="X20" s="298">
        <f>J34+J35+J36+J39+J40</f>
        <v>14</v>
      </c>
      <c r="Y20" s="298">
        <f>J41-X20</f>
        <v>0</v>
      </c>
      <c r="Z20" s="60"/>
      <c r="AA20" s="305">
        <f>บัณฑิตศึกษา!I32</f>
        <v>0</v>
      </c>
      <c r="AB20" s="93"/>
      <c r="AC20" s="305">
        <f t="shared" si="2"/>
        <v>14</v>
      </c>
      <c r="AD20" s="306"/>
      <c r="AE20" s="306"/>
    </row>
    <row r="21" spans="1:35">
      <c r="A21" s="257" t="s">
        <v>188</v>
      </c>
      <c r="B21" s="258"/>
      <c r="C21" s="258"/>
      <c r="D21" s="258"/>
      <c r="E21" s="258"/>
      <c r="F21" s="259"/>
      <c r="G21" s="260"/>
      <c r="H21" s="259"/>
      <c r="I21" s="259"/>
      <c r="J21" s="273"/>
      <c r="K21" s="273"/>
      <c r="L21" s="273"/>
      <c r="M21" s="273"/>
      <c r="N21" s="273"/>
      <c r="O21" s="273"/>
      <c r="P21" s="273"/>
      <c r="Q21" s="48">
        <f>1844-1816</f>
        <v>28</v>
      </c>
      <c r="R21" s="287"/>
      <c r="S21" s="287"/>
      <c r="T21" s="287"/>
      <c r="U21" s="287"/>
      <c r="V21" s="287"/>
      <c r="W21" s="296" t="s">
        <v>6</v>
      </c>
      <c r="X21" s="49">
        <f t="shared" ref="X21:AC21" si="5">SUM(X15:X20)</f>
        <v>14</v>
      </c>
      <c r="Y21" s="49">
        <f t="shared" si="5"/>
        <v>0</v>
      </c>
      <c r="Z21" s="49">
        <f t="shared" si="5"/>
        <v>0</v>
      </c>
      <c r="AA21" s="49">
        <f t="shared" si="5"/>
        <v>78</v>
      </c>
      <c r="AB21" s="49">
        <f t="shared" si="5"/>
        <v>1</v>
      </c>
      <c r="AC21" s="49">
        <f t="shared" si="5"/>
        <v>93</v>
      </c>
    </row>
    <row r="22" spans="1:35">
      <c r="A22" s="71" t="s">
        <v>189</v>
      </c>
      <c r="B22" s="71"/>
      <c r="C22" s="71"/>
      <c r="D22" s="71"/>
      <c r="E22" s="71">
        <v>17</v>
      </c>
      <c r="F22" s="261">
        <v>3</v>
      </c>
      <c r="G22" s="262"/>
      <c r="H22" s="263"/>
      <c r="I22" s="282"/>
      <c r="J22" s="275"/>
      <c r="K22" s="275"/>
      <c r="L22" s="275"/>
      <c r="M22" s="275"/>
      <c r="N22" s="275"/>
      <c r="O22" s="275"/>
      <c r="P22" s="275">
        <f>SUM(J22:O22)</f>
        <v>0</v>
      </c>
      <c r="Q22" s="288"/>
      <c r="R22" s="282"/>
      <c r="S22" s="282"/>
      <c r="T22" s="282"/>
      <c r="U22" s="282"/>
      <c r="V22" s="282"/>
      <c r="W22" s="296" t="s">
        <v>21</v>
      </c>
      <c r="X22" s="299">
        <f t="shared" ref="X22:AC22" si="6">SUM(X14,X21)</f>
        <v>368</v>
      </c>
      <c r="Y22" s="299">
        <f t="shared" si="6"/>
        <v>456</v>
      </c>
      <c r="Z22" s="299" t="e">
        <f t="shared" si="6"/>
        <v>#REF!</v>
      </c>
      <c r="AA22" s="299">
        <f t="shared" si="6"/>
        <v>627</v>
      </c>
      <c r="AB22" s="299">
        <f t="shared" si="6"/>
        <v>193</v>
      </c>
      <c r="AC22" s="299" t="e">
        <f t="shared" si="6"/>
        <v>#REF!</v>
      </c>
    </row>
    <row r="23" spans="1:35">
      <c r="A23" s="71" t="s">
        <v>316</v>
      </c>
      <c r="B23" s="71">
        <v>14</v>
      </c>
      <c r="C23" s="71"/>
      <c r="D23" s="71"/>
      <c r="E23" s="71"/>
      <c r="F23" s="261"/>
      <c r="G23" s="264"/>
      <c r="H23" s="263"/>
      <c r="I23" s="282"/>
      <c r="J23" s="275"/>
      <c r="K23" s="275"/>
      <c r="L23" s="275"/>
      <c r="M23" s="275"/>
      <c r="N23" s="275"/>
      <c r="O23" s="275"/>
      <c r="P23" s="275">
        <f>SUM(J23:O23)</f>
        <v>0</v>
      </c>
      <c r="Q23" s="288"/>
      <c r="R23" s="282"/>
      <c r="S23" s="282"/>
      <c r="T23" s="282"/>
      <c r="U23" s="282"/>
      <c r="V23" s="282"/>
      <c r="X23" s="879" t="e">
        <f>X22+Y22+Z22</f>
        <v>#REF!</v>
      </c>
      <c r="Y23" s="880"/>
      <c r="Z23" s="881"/>
      <c r="AA23" s="307">
        <f>AA22+AB22</f>
        <v>820</v>
      </c>
      <c r="AB23" s="307">
        <f>X11</f>
        <v>220</v>
      </c>
      <c r="AC23" s="307">
        <f>SUM(AA23:AB23)</f>
        <v>1040</v>
      </c>
      <c r="AD23" s="235">
        <f>'ปกติ (2)'!I135+'ปกติ (2)'!I136</f>
        <v>35</v>
      </c>
      <c r="AE23" s="308">
        <f>SUM(AC23:AD23)</f>
        <v>1075</v>
      </c>
    </row>
    <row r="24" spans="1:35">
      <c r="A24" s="71" t="s">
        <v>324</v>
      </c>
      <c r="B24" s="71"/>
      <c r="C24" s="71"/>
      <c r="D24" s="71"/>
      <c r="E24" s="71"/>
      <c r="F24" s="261"/>
      <c r="G24" s="265"/>
      <c r="H24" s="261"/>
      <c r="I24" s="261"/>
      <c r="J24" s="275">
        <f t="shared" ref="J24:J39" si="7">SUM(B24:I24)</f>
        <v>0</v>
      </c>
      <c r="K24" s="275"/>
      <c r="L24" s="275"/>
      <c r="M24" s="275"/>
      <c r="N24" s="275"/>
      <c r="O24" s="275"/>
      <c r="P24" s="275">
        <f t="shared" ref="P24:P85" si="8">SUM(J24:O24)</f>
        <v>0</v>
      </c>
      <c r="Q24" s="288"/>
      <c r="R24" s="282"/>
      <c r="S24" s="282"/>
      <c r="T24" s="282"/>
      <c r="U24" s="282"/>
      <c r="V24" s="282"/>
      <c r="W24" s="47" t="s">
        <v>317</v>
      </c>
      <c r="AB24" s="309" t="e">
        <f>X23+AA23+AB23</f>
        <v>#REF!</v>
      </c>
      <c r="AI24" s="46" t="s">
        <v>280</v>
      </c>
    </row>
    <row r="25" spans="1:35" hidden="1">
      <c r="A25" s="71" t="s">
        <v>195</v>
      </c>
      <c r="B25" s="71"/>
      <c r="C25" s="71"/>
      <c r="D25" s="71"/>
      <c r="E25" s="71"/>
      <c r="F25" s="261"/>
      <c r="G25" s="265"/>
      <c r="H25" s="261"/>
      <c r="I25" s="261"/>
      <c r="J25" s="275">
        <f t="shared" si="7"/>
        <v>0</v>
      </c>
      <c r="K25" s="275"/>
      <c r="L25" s="275"/>
      <c r="M25" s="275"/>
      <c r="N25" s="275"/>
      <c r="O25" s="275"/>
      <c r="P25" s="275"/>
      <c r="Q25" s="288"/>
      <c r="R25" s="282"/>
      <c r="S25" s="282"/>
      <c r="T25" s="282"/>
      <c r="U25" s="282"/>
      <c r="V25" s="282"/>
    </row>
    <row r="26" spans="1:35" hidden="1">
      <c r="A26" s="71" t="s">
        <v>196</v>
      </c>
      <c r="B26" s="71"/>
      <c r="C26" s="71"/>
      <c r="D26" s="71"/>
      <c r="E26" s="71"/>
      <c r="F26" s="261"/>
      <c r="G26" s="265"/>
      <c r="H26" s="261"/>
      <c r="I26" s="261"/>
      <c r="J26" s="275">
        <f t="shared" si="7"/>
        <v>0</v>
      </c>
      <c r="K26" s="275"/>
      <c r="L26" s="275"/>
      <c r="M26" s="275"/>
      <c r="N26" s="275"/>
      <c r="O26" s="275"/>
      <c r="P26" s="275"/>
      <c r="Q26" s="288"/>
      <c r="R26" s="282"/>
      <c r="S26" s="282"/>
      <c r="T26" s="282"/>
      <c r="U26" s="282"/>
      <c r="V26" s="282"/>
    </row>
    <row r="27" spans="1:35" hidden="1">
      <c r="A27" s="71" t="s">
        <v>197</v>
      </c>
      <c r="B27" s="71"/>
      <c r="C27" s="71"/>
      <c r="D27" s="71"/>
      <c r="E27" s="71"/>
      <c r="F27" s="261"/>
      <c r="G27" s="265"/>
      <c r="H27" s="261"/>
      <c r="I27" s="261"/>
      <c r="J27" s="275">
        <f t="shared" si="7"/>
        <v>0</v>
      </c>
      <c r="K27" s="276"/>
      <c r="L27" s="276"/>
      <c r="M27" s="275"/>
      <c r="N27" s="275"/>
      <c r="O27" s="275"/>
      <c r="P27" s="275">
        <f>SUM(J27:O27)</f>
        <v>0</v>
      </c>
      <c r="Q27" s="288"/>
      <c r="R27" s="282"/>
      <c r="S27" s="282"/>
      <c r="T27" s="282"/>
      <c r="U27" s="282"/>
      <c r="V27" s="282"/>
    </row>
    <row r="28" spans="1:35" hidden="1">
      <c r="A28" s="71" t="s">
        <v>198</v>
      </c>
      <c r="B28" s="71"/>
      <c r="C28" s="71"/>
      <c r="D28" s="71"/>
      <c r="E28" s="71"/>
      <c r="F28" s="261"/>
      <c r="G28" s="265"/>
      <c r="H28" s="261"/>
      <c r="I28" s="261"/>
      <c r="J28" s="275">
        <f t="shared" si="7"/>
        <v>0</v>
      </c>
      <c r="K28" s="276"/>
      <c r="L28" s="276"/>
      <c r="M28" s="275"/>
      <c r="N28" s="275"/>
      <c r="O28" s="275"/>
      <c r="P28" s="275">
        <f t="shared" si="8"/>
        <v>0</v>
      </c>
      <c r="Q28" s="288"/>
      <c r="R28" s="282"/>
      <c r="S28" s="282"/>
      <c r="T28" s="282"/>
      <c r="U28" s="282"/>
      <c r="V28" s="282"/>
    </row>
    <row r="29" spans="1:35" hidden="1">
      <c r="A29" s="71" t="s">
        <v>199</v>
      </c>
      <c r="B29" s="71"/>
      <c r="C29" s="71"/>
      <c r="D29" s="71"/>
      <c r="E29" s="71"/>
      <c r="F29" s="261"/>
      <c r="G29" s="265"/>
      <c r="H29" s="261"/>
      <c r="I29" s="261"/>
      <c r="J29" s="275">
        <f t="shared" si="7"/>
        <v>0</v>
      </c>
      <c r="K29" s="276"/>
      <c r="L29" s="276"/>
      <c r="M29" s="275"/>
      <c r="N29" s="275"/>
      <c r="O29" s="275"/>
      <c r="P29" s="275">
        <f t="shared" si="8"/>
        <v>0</v>
      </c>
      <c r="Q29" s="288"/>
      <c r="R29" s="282"/>
      <c r="S29" s="282"/>
      <c r="T29" s="282"/>
      <c r="U29" s="282"/>
      <c r="V29" s="282"/>
    </row>
    <row r="30" spans="1:35">
      <c r="A30" s="71" t="s">
        <v>325</v>
      </c>
      <c r="B30" s="71"/>
      <c r="C30" s="71"/>
      <c r="D30" s="71"/>
      <c r="E30" s="71"/>
      <c r="F30" s="261"/>
      <c r="G30" s="265"/>
      <c r="H30" s="261"/>
      <c r="I30" s="261"/>
      <c r="J30" s="275">
        <f t="shared" ref="J30" si="9">SUM(B30:I30)</f>
        <v>0</v>
      </c>
      <c r="K30" s="275"/>
      <c r="L30" s="275"/>
      <c r="M30" s="275"/>
      <c r="N30" s="275"/>
      <c r="O30" s="275"/>
      <c r="P30" s="275">
        <f t="shared" ref="P30" si="10">SUM(J30:O30)</f>
        <v>0</v>
      </c>
      <c r="Q30" s="288"/>
      <c r="R30" s="282"/>
      <c r="S30" s="282"/>
      <c r="T30" s="282"/>
      <c r="U30" s="282"/>
      <c r="V30" s="282"/>
      <c r="W30" s="47" t="s">
        <v>317</v>
      </c>
      <c r="AB30" s="309">
        <f>X29+AA29+AB29</f>
        <v>0</v>
      </c>
      <c r="AI30" s="46" t="s">
        <v>280</v>
      </c>
    </row>
    <row r="31" spans="1:35">
      <c r="A31" s="71" t="s">
        <v>318</v>
      </c>
      <c r="B31" s="71">
        <v>13</v>
      </c>
      <c r="C31" s="71">
        <v>11</v>
      </c>
      <c r="D31" s="71"/>
      <c r="E31" s="71"/>
      <c r="F31" s="261"/>
      <c r="G31" s="265"/>
      <c r="H31" s="261"/>
      <c r="I31" s="261"/>
      <c r="J31" s="275"/>
      <c r="K31" s="275"/>
      <c r="L31" s="275"/>
      <c r="M31" s="275"/>
      <c r="N31" s="275"/>
      <c r="O31" s="275"/>
      <c r="P31" s="275">
        <f t="shared" ref="P31" si="11">SUM(J31:O31)</f>
        <v>0</v>
      </c>
      <c r="Q31" s="288"/>
      <c r="R31" s="282"/>
      <c r="S31" s="282"/>
      <c r="T31" s="282"/>
      <c r="U31" s="282"/>
      <c r="V31" s="282"/>
      <c r="W31" s="47" t="s">
        <v>317</v>
      </c>
      <c r="AB31" s="309">
        <f>X11+AA22+AB22</f>
        <v>1040</v>
      </c>
    </row>
    <row r="32" spans="1:35">
      <c r="A32" s="71" t="s">
        <v>326</v>
      </c>
      <c r="B32" s="71">
        <v>14</v>
      </c>
      <c r="C32" s="71"/>
      <c r="D32" s="71"/>
      <c r="E32" s="71"/>
      <c r="F32" s="261"/>
      <c r="G32" s="265"/>
      <c r="H32" s="261"/>
      <c r="I32" s="261"/>
      <c r="J32" s="275"/>
      <c r="K32" s="275"/>
      <c r="L32" s="275"/>
      <c r="M32" s="275"/>
      <c r="N32" s="275"/>
      <c r="O32" s="275"/>
      <c r="P32" s="275"/>
      <c r="Q32" s="288"/>
      <c r="R32" s="300">
        <v>0</v>
      </c>
      <c r="S32" s="300">
        <v>0</v>
      </c>
      <c r="T32" s="300">
        <v>0</v>
      </c>
      <c r="U32" s="300">
        <v>0</v>
      </c>
      <c r="V32" s="300">
        <v>0</v>
      </c>
      <c r="AB32" s="309"/>
    </row>
    <row r="33" spans="1:35">
      <c r="A33" s="71" t="s">
        <v>327</v>
      </c>
      <c r="B33" s="71">
        <v>14</v>
      </c>
      <c r="C33" s="71"/>
      <c r="D33" s="71"/>
      <c r="E33" s="71"/>
      <c r="F33" s="261"/>
      <c r="G33" s="265"/>
      <c r="H33" s="261"/>
      <c r="I33" s="261"/>
      <c r="J33" s="275"/>
      <c r="K33" s="275"/>
      <c r="L33" s="275"/>
      <c r="M33" s="275"/>
      <c r="N33" s="275"/>
      <c r="O33" s="275"/>
      <c r="P33" s="275"/>
      <c r="Q33" s="288"/>
      <c r="R33" s="300">
        <v>0</v>
      </c>
      <c r="S33" s="300">
        <v>0</v>
      </c>
      <c r="T33" s="300">
        <v>0</v>
      </c>
      <c r="U33" s="300">
        <v>0</v>
      </c>
      <c r="V33" s="300">
        <v>0</v>
      </c>
      <c r="AB33" s="309"/>
    </row>
    <row r="34" spans="1:35" s="46" customFormat="1">
      <c r="A34" s="71" t="s">
        <v>203</v>
      </c>
      <c r="B34" s="71"/>
      <c r="C34" s="71">
        <v>7</v>
      </c>
      <c r="D34" s="71"/>
      <c r="E34" s="71"/>
      <c r="F34" s="261">
        <v>1</v>
      </c>
      <c r="G34" s="265"/>
      <c r="H34" s="261"/>
      <c r="I34" s="261"/>
      <c r="J34" s="275"/>
      <c r="K34" s="275"/>
      <c r="L34" s="275"/>
      <c r="M34" s="275"/>
      <c r="N34" s="275"/>
      <c r="O34" s="275"/>
      <c r="P34" s="275">
        <f t="shared" si="8"/>
        <v>0</v>
      </c>
      <c r="Q34" s="288"/>
      <c r="R34" s="282">
        <v>25</v>
      </c>
      <c r="S34" s="282">
        <v>25</v>
      </c>
      <c r="T34" s="282">
        <v>25</v>
      </c>
      <c r="U34" s="282">
        <v>25</v>
      </c>
      <c r="V34" s="282">
        <v>25</v>
      </c>
      <c r="W34" s="46" t="s">
        <v>320</v>
      </c>
      <c r="Z34" s="310" t="e">
        <f>X23-X11</f>
        <v>#REF!</v>
      </c>
      <c r="AA34" s="310">
        <f>X22-X11</f>
        <v>148</v>
      </c>
      <c r="AD34" s="46">
        <f>SUM(AB34:AC34)</f>
        <v>0</v>
      </c>
      <c r="AI34" s="46" t="s">
        <v>278</v>
      </c>
    </row>
    <row r="35" spans="1:35" s="46" customFormat="1">
      <c r="A35" s="71" t="s">
        <v>202</v>
      </c>
      <c r="B35" s="71">
        <v>14</v>
      </c>
      <c r="C35" s="71">
        <v>21</v>
      </c>
      <c r="D35" s="71">
        <v>5</v>
      </c>
      <c r="E35" s="71">
        <v>3</v>
      </c>
      <c r="F35" s="261">
        <v>1</v>
      </c>
      <c r="G35" s="265"/>
      <c r="H35" s="261"/>
      <c r="I35" s="261"/>
      <c r="J35" s="275">
        <v>14</v>
      </c>
      <c r="K35" s="275"/>
      <c r="L35" s="275"/>
      <c r="M35" s="275"/>
      <c r="N35" s="275"/>
      <c r="O35" s="275"/>
      <c r="P35" s="275">
        <f t="shared" si="8"/>
        <v>14</v>
      </c>
      <c r="Q35" s="288"/>
      <c r="R35" s="282">
        <v>25</v>
      </c>
      <c r="S35" s="282">
        <v>25</v>
      </c>
      <c r="T35" s="282">
        <v>25</v>
      </c>
      <c r="U35" s="282">
        <v>25</v>
      </c>
      <c r="V35" s="282">
        <v>25</v>
      </c>
      <c r="AB35" s="310" t="e">
        <f>X14+Y14+Z14</f>
        <v>#REF!</v>
      </c>
    </row>
    <row r="36" spans="1:35" s="46" customFormat="1" hidden="1">
      <c r="A36" s="71" t="s">
        <v>203</v>
      </c>
      <c r="B36" s="71"/>
      <c r="C36" s="71"/>
      <c r="D36" s="71"/>
      <c r="E36" s="71"/>
      <c r="F36" s="261"/>
      <c r="G36" s="265"/>
      <c r="H36" s="261"/>
      <c r="I36" s="261"/>
      <c r="J36" s="275">
        <f t="shared" si="7"/>
        <v>0</v>
      </c>
      <c r="K36" s="275"/>
      <c r="L36" s="275"/>
      <c r="M36" s="275"/>
      <c r="N36" s="275"/>
      <c r="O36" s="275"/>
      <c r="P36" s="275">
        <f t="shared" si="8"/>
        <v>0</v>
      </c>
      <c r="Q36" s="288"/>
      <c r="R36" s="282"/>
      <c r="S36" s="282"/>
      <c r="T36" s="282"/>
      <c r="U36" s="282"/>
      <c r="V36" s="282"/>
      <c r="Z36" s="310"/>
    </row>
    <row r="37" spans="1:35" s="46" customFormat="1">
      <c r="A37" s="71" t="s">
        <v>328</v>
      </c>
      <c r="B37" s="71">
        <v>13</v>
      </c>
      <c r="C37" s="71">
        <v>11</v>
      </c>
      <c r="D37" s="71"/>
      <c r="E37" s="71"/>
      <c r="F37" s="261"/>
      <c r="G37" s="265"/>
      <c r="H37" s="261"/>
      <c r="I37" s="261"/>
      <c r="J37" s="275"/>
      <c r="K37" s="275"/>
      <c r="L37" s="275"/>
      <c r="M37" s="275"/>
      <c r="N37" s="275"/>
      <c r="O37" s="275"/>
      <c r="P37" s="275"/>
      <c r="Q37" s="288"/>
      <c r="R37" s="282">
        <v>25</v>
      </c>
      <c r="S37" s="57">
        <v>25</v>
      </c>
      <c r="T37" s="57">
        <v>25</v>
      </c>
      <c r="U37" s="57">
        <v>25</v>
      </c>
      <c r="V37" s="57">
        <v>25</v>
      </c>
      <c r="W37" s="46" t="s">
        <v>317</v>
      </c>
      <c r="AB37" s="311">
        <f>X17+AA28+AB28</f>
        <v>0</v>
      </c>
      <c r="AI37" s="46" t="s">
        <v>280</v>
      </c>
    </row>
    <row r="38" spans="1:35">
      <c r="A38" s="71" t="s">
        <v>329</v>
      </c>
      <c r="B38" s="71"/>
      <c r="C38" s="71"/>
      <c r="D38" s="71"/>
      <c r="E38" s="71"/>
      <c r="F38" s="261"/>
      <c r="G38" s="265"/>
      <c r="H38" s="261"/>
      <c r="I38" s="261"/>
      <c r="J38" s="275">
        <f t="shared" si="7"/>
        <v>0</v>
      </c>
      <c r="K38" s="275"/>
      <c r="L38" s="275"/>
      <c r="M38" s="275"/>
      <c r="N38" s="275"/>
      <c r="O38" s="275"/>
      <c r="P38" s="275">
        <f t="shared" ref="P38" si="12">SUM(J38:O38)</f>
        <v>0</v>
      </c>
      <c r="Q38" s="288"/>
      <c r="R38" s="282"/>
      <c r="S38" s="282"/>
      <c r="T38" s="282"/>
      <c r="U38" s="282"/>
      <c r="V38" s="282"/>
      <c r="X38" s="301">
        <f>X21-213</f>
        <v>-199</v>
      </c>
      <c r="AI38" s="46" t="s">
        <v>280</v>
      </c>
    </row>
    <row r="39" spans="1:35">
      <c r="A39" s="71" t="s">
        <v>321</v>
      </c>
      <c r="B39" s="71"/>
      <c r="C39" s="71"/>
      <c r="D39" s="71"/>
      <c r="E39" s="71"/>
      <c r="F39" s="261"/>
      <c r="G39" s="265"/>
      <c r="H39" s="261"/>
      <c r="I39" s="261"/>
      <c r="J39" s="275">
        <f t="shared" si="7"/>
        <v>0</v>
      </c>
      <c r="K39" s="275"/>
      <c r="L39" s="275"/>
      <c r="M39" s="275"/>
      <c r="N39" s="275"/>
      <c r="O39" s="275"/>
      <c r="P39" s="275">
        <f t="shared" si="8"/>
        <v>0</v>
      </c>
      <c r="Q39" s="288"/>
      <c r="R39" s="282"/>
      <c r="S39" s="282"/>
      <c r="T39" s="282"/>
      <c r="U39" s="282"/>
      <c r="V39" s="282"/>
      <c r="X39" s="301">
        <f>X22-213</f>
        <v>155</v>
      </c>
    </row>
    <row r="40" spans="1:35">
      <c r="A40" s="68" t="s">
        <v>205</v>
      </c>
      <c r="B40" s="68"/>
      <c r="C40" s="68"/>
      <c r="D40" s="68"/>
      <c r="E40" s="68">
        <v>3</v>
      </c>
      <c r="F40" s="259"/>
      <c r="G40" s="260"/>
      <c r="H40" s="259"/>
      <c r="I40" s="259"/>
      <c r="J40" s="273"/>
      <c r="K40" s="274"/>
      <c r="L40" s="274"/>
      <c r="M40" s="273"/>
      <c r="N40" s="273"/>
      <c r="O40" s="273"/>
      <c r="P40" s="273">
        <f t="shared" si="8"/>
        <v>0</v>
      </c>
      <c r="R40" s="287"/>
      <c r="S40" s="287"/>
      <c r="T40" s="287"/>
      <c r="U40" s="287"/>
      <c r="V40" s="287"/>
    </row>
    <row r="41" spans="1:35">
      <c r="A41" s="60" t="s">
        <v>6</v>
      </c>
      <c r="B41" s="234">
        <f t="shared" ref="B41:J41" si="13">SUM(B22:B40)</f>
        <v>82</v>
      </c>
      <c r="C41" s="234">
        <f t="shared" si="13"/>
        <v>50</v>
      </c>
      <c r="D41" s="234">
        <f t="shared" si="13"/>
        <v>5</v>
      </c>
      <c r="E41" s="234">
        <f t="shared" si="13"/>
        <v>23</v>
      </c>
      <c r="F41" s="234">
        <f t="shared" si="13"/>
        <v>5</v>
      </c>
      <c r="G41" s="234">
        <f t="shared" si="13"/>
        <v>0</v>
      </c>
      <c r="H41" s="234">
        <f t="shared" si="13"/>
        <v>0</v>
      </c>
      <c r="I41" s="234">
        <f t="shared" si="13"/>
        <v>0</v>
      </c>
      <c r="J41" s="49">
        <f t="shared" si="13"/>
        <v>14</v>
      </c>
      <c r="K41" s="49">
        <f>SUM(K24:K25)</f>
        <v>0</v>
      </c>
      <c r="L41" s="49">
        <f>SUM(L24:L25)</f>
        <v>0</v>
      </c>
      <c r="M41" s="49">
        <f>SUM(M24:M25)</f>
        <v>0</v>
      </c>
      <c r="N41" s="49">
        <f>SUM(N24:N25)</f>
        <v>0</v>
      </c>
      <c r="O41" s="49">
        <f>SUM(O24:O25)</f>
        <v>0</v>
      </c>
      <c r="P41" s="281">
        <f t="shared" si="8"/>
        <v>14</v>
      </c>
      <c r="Q41" s="49">
        <f>138+24+17</f>
        <v>179</v>
      </c>
      <c r="R41" s="49">
        <f t="shared" ref="R41:V41" si="14">SUM(R22:R40)</f>
        <v>75</v>
      </c>
      <c r="S41" s="49">
        <f t="shared" si="14"/>
        <v>75</v>
      </c>
      <c r="T41" s="49">
        <f t="shared" si="14"/>
        <v>75</v>
      </c>
      <c r="U41" s="49">
        <f t="shared" ref="U41" si="15">SUM(U22:U40)</f>
        <v>75</v>
      </c>
      <c r="V41" s="49">
        <f t="shared" si="14"/>
        <v>75</v>
      </c>
      <c r="W41" s="302"/>
      <c r="X41" s="302"/>
      <c r="Y41" s="302"/>
      <c r="Z41" s="302"/>
      <c r="AB41" s="312"/>
    </row>
    <row r="42" spans="1:35">
      <c r="A42" s="266" t="s">
        <v>70</v>
      </c>
      <c r="B42" s="266"/>
      <c r="C42" s="266"/>
      <c r="D42" s="266"/>
      <c r="E42" s="266"/>
      <c r="F42" s="267"/>
      <c r="G42" s="267"/>
      <c r="H42" s="267"/>
      <c r="I42" s="267"/>
      <c r="J42" s="127"/>
      <c r="K42" s="127"/>
      <c r="L42" s="127"/>
      <c r="M42" s="127"/>
      <c r="N42" s="127"/>
      <c r="O42" s="127"/>
      <c r="P42" s="127">
        <f t="shared" si="8"/>
        <v>0</v>
      </c>
      <c r="Q42" s="53"/>
      <c r="R42" s="93"/>
      <c r="S42" s="93"/>
      <c r="T42" s="93"/>
      <c r="U42" s="93"/>
      <c r="V42" s="93"/>
    </row>
    <row r="43" spans="1:35">
      <c r="A43" s="67" t="s">
        <v>207</v>
      </c>
      <c r="B43" s="67"/>
      <c r="C43" s="67"/>
      <c r="D43" s="67">
        <v>15</v>
      </c>
      <c r="E43" s="67">
        <v>15</v>
      </c>
      <c r="F43" s="268">
        <v>5</v>
      </c>
      <c r="G43" s="268"/>
      <c r="H43" s="268"/>
      <c r="I43" s="268"/>
      <c r="J43" s="277">
        <v>0</v>
      </c>
      <c r="K43" s="277"/>
      <c r="L43" s="277"/>
      <c r="M43" s="277"/>
      <c r="N43" s="278">
        <v>26</v>
      </c>
      <c r="O43" s="278"/>
      <c r="P43" s="273">
        <f t="shared" si="8"/>
        <v>26</v>
      </c>
      <c r="R43" s="294"/>
      <c r="S43" s="294"/>
      <c r="T43" s="294"/>
      <c r="U43" s="294"/>
      <c r="V43" s="294"/>
      <c r="AA43" s="313"/>
    </row>
    <row r="44" spans="1:35" hidden="1">
      <c r="A44" s="69" t="s">
        <v>72</v>
      </c>
      <c r="B44" s="69"/>
      <c r="C44" s="69"/>
      <c r="D44" s="69"/>
      <c r="E44" s="69"/>
      <c r="F44" s="269"/>
      <c r="G44" s="269"/>
      <c r="H44" s="269"/>
      <c r="I44" s="269"/>
      <c r="J44" s="279">
        <f>SUM(C44:I44)</f>
        <v>0</v>
      </c>
      <c r="K44" s="279"/>
      <c r="L44" s="279"/>
      <c r="M44" s="279"/>
      <c r="N44" s="280">
        <v>12</v>
      </c>
      <c r="O44" s="279"/>
      <c r="P44" s="279">
        <f t="shared" si="8"/>
        <v>12</v>
      </c>
      <c r="R44" s="297"/>
      <c r="S44" s="297"/>
      <c r="T44" s="297"/>
      <c r="U44" s="297"/>
      <c r="V44" s="297"/>
    </row>
    <row r="45" spans="1:35">
      <c r="A45" s="60" t="s">
        <v>6</v>
      </c>
      <c r="B45" s="234">
        <f t="shared" ref="B45:O45" si="16">SUM(B43:B44)</f>
        <v>0</v>
      </c>
      <c r="C45" s="234">
        <f t="shared" si="16"/>
        <v>0</v>
      </c>
      <c r="D45" s="234">
        <f t="shared" si="16"/>
        <v>15</v>
      </c>
      <c r="E45" s="234">
        <f t="shared" si="16"/>
        <v>15</v>
      </c>
      <c r="F45" s="234">
        <f t="shared" si="16"/>
        <v>5</v>
      </c>
      <c r="G45" s="234">
        <f t="shared" si="16"/>
        <v>0</v>
      </c>
      <c r="H45" s="234">
        <f t="shared" si="16"/>
        <v>0</v>
      </c>
      <c r="I45" s="234">
        <f t="shared" si="16"/>
        <v>0</v>
      </c>
      <c r="J45" s="49">
        <f t="shared" si="16"/>
        <v>0</v>
      </c>
      <c r="K45" s="49">
        <f t="shared" si="16"/>
        <v>0</v>
      </c>
      <c r="L45" s="49">
        <f t="shared" si="16"/>
        <v>0</v>
      </c>
      <c r="M45" s="49">
        <f t="shared" si="16"/>
        <v>0</v>
      </c>
      <c r="N45" s="49">
        <f t="shared" si="16"/>
        <v>38</v>
      </c>
      <c r="O45" s="49">
        <f t="shared" si="16"/>
        <v>0</v>
      </c>
      <c r="P45" s="281">
        <f t="shared" si="8"/>
        <v>38</v>
      </c>
      <c r="Q45" s="53"/>
      <c r="R45" s="93"/>
      <c r="S45" s="93"/>
      <c r="T45" s="93"/>
      <c r="U45" s="93"/>
      <c r="V45" s="93"/>
      <c r="W45" s="302"/>
      <c r="X45" s="302"/>
      <c r="Y45" s="302"/>
    </row>
    <row r="46" spans="1:35">
      <c r="A46" s="266" t="s">
        <v>108</v>
      </c>
      <c r="B46" s="266"/>
      <c r="C46" s="266"/>
      <c r="D46" s="266"/>
      <c r="E46" s="266"/>
      <c r="F46" s="267"/>
      <c r="G46" s="267"/>
      <c r="H46" s="267"/>
      <c r="I46" s="267"/>
      <c r="J46" s="127"/>
      <c r="K46" s="127"/>
      <c r="L46" s="127"/>
      <c r="M46" s="127"/>
      <c r="N46" s="127"/>
      <c r="O46" s="127"/>
      <c r="P46" s="127">
        <f t="shared" si="8"/>
        <v>0</v>
      </c>
      <c r="Q46" s="53"/>
      <c r="R46" s="93"/>
      <c r="S46" s="93"/>
      <c r="T46" s="93"/>
      <c r="U46" s="93"/>
      <c r="V46" s="93"/>
      <c r="AI46" s="46" t="s">
        <v>269</v>
      </c>
    </row>
    <row r="47" spans="1:35">
      <c r="A47" s="270" t="s">
        <v>55</v>
      </c>
      <c r="B47" s="270"/>
      <c r="C47" s="270"/>
      <c r="D47" s="270"/>
      <c r="E47" s="270"/>
      <c r="F47" s="271">
        <v>2</v>
      </c>
      <c r="G47" s="271"/>
      <c r="H47" s="271"/>
      <c r="I47" s="271"/>
      <c r="J47" s="283"/>
      <c r="K47" s="283"/>
      <c r="L47" s="283"/>
      <c r="M47" s="283"/>
      <c r="N47" s="284"/>
      <c r="O47" s="284"/>
      <c r="P47" s="283"/>
      <c r="Q47" s="90"/>
      <c r="R47" s="303"/>
      <c r="S47" s="303"/>
      <c r="T47" s="303"/>
      <c r="U47" s="303"/>
      <c r="V47" s="303"/>
      <c r="AA47" s="313"/>
    </row>
    <row r="48" spans="1:35">
      <c r="A48" s="71" t="s">
        <v>301</v>
      </c>
      <c r="B48" s="71"/>
      <c r="C48" s="71"/>
      <c r="D48" s="71"/>
      <c r="E48" s="71"/>
      <c r="F48" s="261"/>
      <c r="G48" s="261"/>
      <c r="H48" s="261"/>
      <c r="I48" s="261"/>
      <c r="J48" s="275">
        <v>0</v>
      </c>
      <c r="K48" s="275"/>
      <c r="L48" s="275"/>
      <c r="M48" s="275"/>
      <c r="N48" s="276"/>
      <c r="O48" s="276"/>
      <c r="P48" s="275"/>
      <c r="Q48" s="288"/>
      <c r="R48" s="263" t="s">
        <v>8</v>
      </c>
      <c r="S48" s="263" t="s">
        <v>8</v>
      </c>
      <c r="T48" s="263" t="s">
        <v>8</v>
      </c>
      <c r="U48" s="263" t="s">
        <v>8</v>
      </c>
      <c r="V48" s="263" t="s">
        <v>8</v>
      </c>
      <c r="AA48" s="313"/>
    </row>
    <row r="49" spans="1:35">
      <c r="A49" s="67" t="s">
        <v>330</v>
      </c>
      <c r="B49" s="67"/>
      <c r="C49" s="67"/>
      <c r="D49" s="67"/>
      <c r="E49" s="67"/>
      <c r="F49" s="268"/>
      <c r="G49" s="268"/>
      <c r="H49" s="268"/>
      <c r="I49" s="268"/>
      <c r="J49" s="277">
        <v>0</v>
      </c>
      <c r="K49" s="277"/>
      <c r="L49" s="277"/>
      <c r="M49" s="277"/>
      <c r="N49" s="278"/>
      <c r="O49" s="278"/>
      <c r="P49" s="277"/>
      <c r="Q49" s="304"/>
      <c r="R49" s="294">
        <v>20</v>
      </c>
      <c r="S49" s="294">
        <v>20</v>
      </c>
      <c r="T49" s="294">
        <v>20</v>
      </c>
      <c r="U49" s="294">
        <v>20</v>
      </c>
      <c r="V49" s="294">
        <v>20</v>
      </c>
      <c r="AA49" s="313"/>
    </row>
    <row r="50" spans="1:35">
      <c r="A50" s="68" t="s">
        <v>299</v>
      </c>
      <c r="B50" s="68"/>
      <c r="C50" s="68"/>
      <c r="D50" s="68"/>
      <c r="E50" s="68"/>
      <c r="F50" s="259"/>
      <c r="G50" s="259"/>
      <c r="H50" s="259"/>
      <c r="I50" s="259"/>
      <c r="J50" s="273">
        <v>27</v>
      </c>
      <c r="K50" s="273"/>
      <c r="L50" s="273"/>
      <c r="M50" s="273"/>
      <c r="N50" s="274"/>
      <c r="O50" s="273"/>
      <c r="P50" s="273"/>
      <c r="R50" s="287">
        <v>20</v>
      </c>
      <c r="S50" s="287">
        <v>20</v>
      </c>
      <c r="T50" s="287">
        <v>20</v>
      </c>
      <c r="U50" s="287">
        <v>20</v>
      </c>
      <c r="V50" s="287">
        <v>20</v>
      </c>
    </row>
    <row r="51" spans="1:35">
      <c r="A51" s="60" t="s">
        <v>6</v>
      </c>
      <c r="B51" s="234">
        <f t="shared" ref="B51:O51" si="17">SUM(B47:B50)</f>
        <v>0</v>
      </c>
      <c r="C51" s="234">
        <f t="shared" si="17"/>
        <v>0</v>
      </c>
      <c r="D51" s="234">
        <f t="shared" si="17"/>
        <v>0</v>
      </c>
      <c r="E51" s="234">
        <f t="shared" si="17"/>
        <v>0</v>
      </c>
      <c r="F51" s="234">
        <f t="shared" si="17"/>
        <v>2</v>
      </c>
      <c r="G51" s="234">
        <f t="shared" si="17"/>
        <v>0</v>
      </c>
      <c r="H51" s="234">
        <f t="shared" si="17"/>
        <v>0</v>
      </c>
      <c r="I51" s="234">
        <f t="shared" si="17"/>
        <v>0</v>
      </c>
      <c r="J51" s="49">
        <f t="shared" si="17"/>
        <v>27</v>
      </c>
      <c r="K51" s="49">
        <f t="shared" si="17"/>
        <v>0</v>
      </c>
      <c r="L51" s="49">
        <f t="shared" si="17"/>
        <v>0</v>
      </c>
      <c r="M51" s="49">
        <f t="shared" si="17"/>
        <v>0</v>
      </c>
      <c r="N51" s="49">
        <f t="shared" si="17"/>
        <v>0</v>
      </c>
      <c r="O51" s="49">
        <f t="shared" si="17"/>
        <v>0</v>
      </c>
      <c r="P51" s="281">
        <f t="shared" si="8"/>
        <v>27</v>
      </c>
      <c r="Q51" s="53"/>
      <c r="R51" s="49">
        <f t="shared" ref="R51:V51" si="18">SUM(R47:R50)</f>
        <v>40</v>
      </c>
      <c r="S51" s="49">
        <f t="shared" si="18"/>
        <v>40</v>
      </c>
      <c r="T51" s="49">
        <f t="shared" si="18"/>
        <v>40</v>
      </c>
      <c r="U51" s="49">
        <f t="shared" ref="U51" si="19">SUM(U47:U50)</f>
        <v>40</v>
      </c>
      <c r="V51" s="49">
        <f t="shared" si="18"/>
        <v>40</v>
      </c>
      <c r="W51" s="302"/>
      <c r="X51" s="302"/>
      <c r="Y51" s="302"/>
    </row>
    <row r="52" spans="1:35">
      <c r="A52" s="266" t="s">
        <v>125</v>
      </c>
      <c r="B52" s="266"/>
      <c r="C52" s="266"/>
      <c r="D52" s="266"/>
      <c r="E52" s="266"/>
      <c r="F52" s="267"/>
      <c r="G52" s="267"/>
      <c r="H52" s="267"/>
      <c r="I52" s="267"/>
      <c r="J52" s="127"/>
      <c r="K52" s="127"/>
      <c r="L52" s="127"/>
      <c r="M52" s="127"/>
      <c r="N52" s="127"/>
      <c r="O52" s="127"/>
      <c r="P52" s="127">
        <f t="shared" si="8"/>
        <v>0</v>
      </c>
      <c r="Q52" s="53"/>
      <c r="R52" s="93"/>
      <c r="S52" s="93"/>
      <c r="T52" s="93"/>
      <c r="U52" s="93"/>
      <c r="V52" s="93"/>
    </row>
    <row r="53" spans="1:35" hidden="1">
      <c r="A53" s="67" t="s">
        <v>208</v>
      </c>
      <c r="B53" s="67"/>
      <c r="C53" s="67"/>
      <c r="D53" s="67"/>
      <c r="E53" s="67"/>
      <c r="F53" s="268"/>
      <c r="G53" s="268"/>
      <c r="H53" s="268"/>
      <c r="I53" s="268"/>
      <c r="J53" s="277"/>
      <c r="K53" s="277"/>
      <c r="L53" s="277"/>
      <c r="M53" s="277"/>
      <c r="N53" s="277"/>
      <c r="O53" s="277"/>
      <c r="P53" s="273">
        <f t="shared" si="8"/>
        <v>0</v>
      </c>
      <c r="R53" s="294"/>
      <c r="S53" s="294"/>
      <c r="T53" s="294"/>
      <c r="U53" s="294"/>
      <c r="V53" s="294"/>
    </row>
    <row r="54" spans="1:35">
      <c r="A54" s="71" t="s">
        <v>127</v>
      </c>
      <c r="B54" s="71">
        <v>31</v>
      </c>
      <c r="C54" s="71">
        <v>30</v>
      </c>
      <c r="D54" s="71">
        <v>26</v>
      </c>
      <c r="E54" s="71">
        <v>21</v>
      </c>
      <c r="F54" s="261">
        <f>19+7</f>
        <v>26</v>
      </c>
      <c r="G54" s="261"/>
      <c r="H54" s="261"/>
      <c r="I54" s="261"/>
      <c r="J54" s="275">
        <v>8</v>
      </c>
      <c r="K54" s="275"/>
      <c r="L54" s="276">
        <v>28</v>
      </c>
      <c r="M54" s="275"/>
      <c r="N54" s="275"/>
      <c r="O54" s="275"/>
      <c r="P54" s="279">
        <f t="shared" si="8"/>
        <v>36</v>
      </c>
      <c r="R54" s="282">
        <v>25</v>
      </c>
      <c r="S54" s="282">
        <v>0</v>
      </c>
      <c r="T54" s="282">
        <v>25</v>
      </c>
      <c r="U54" s="282">
        <v>0</v>
      </c>
      <c r="V54" s="282">
        <v>25</v>
      </c>
      <c r="W54" s="46"/>
      <c r="AC54" s="306"/>
      <c r="AD54" s="306">
        <f>J59+J64</f>
        <v>316</v>
      </c>
      <c r="AE54" s="306">
        <f>J63</f>
        <v>0</v>
      </c>
      <c r="AF54" s="306">
        <f>SUM(AC54:AE54)</f>
        <v>316</v>
      </c>
      <c r="AI54" s="46" t="s">
        <v>269</v>
      </c>
    </row>
    <row r="55" spans="1:35" hidden="1">
      <c r="A55" s="69" t="s">
        <v>130</v>
      </c>
      <c r="B55" s="69"/>
      <c r="C55" s="69"/>
      <c r="D55" s="69"/>
      <c r="E55" s="69"/>
      <c r="F55" s="269"/>
      <c r="G55" s="269"/>
      <c r="H55" s="269"/>
      <c r="I55" s="269"/>
      <c r="J55" s="279"/>
      <c r="K55" s="279"/>
      <c r="L55" s="279"/>
      <c r="M55" s="279"/>
      <c r="N55" s="279"/>
      <c r="O55" s="279"/>
      <c r="P55" s="279">
        <f t="shared" si="8"/>
        <v>0</v>
      </c>
      <c r="R55" s="297"/>
      <c r="S55" s="297"/>
      <c r="T55" s="297"/>
      <c r="U55" s="297"/>
      <c r="V55" s="297"/>
    </row>
    <row r="56" spans="1:35">
      <c r="A56" s="71" t="s">
        <v>129</v>
      </c>
      <c r="B56" s="71">
        <v>18</v>
      </c>
      <c r="C56" s="71">
        <v>25</v>
      </c>
      <c r="D56" s="71">
        <v>23</v>
      </c>
      <c r="E56" s="71">
        <v>24</v>
      </c>
      <c r="F56" s="261">
        <v>1</v>
      </c>
      <c r="G56" s="261"/>
      <c r="H56" s="261"/>
      <c r="I56" s="261"/>
      <c r="J56" s="275">
        <v>25</v>
      </c>
      <c r="K56" s="275"/>
      <c r="L56" s="276">
        <v>28</v>
      </c>
      <c r="M56" s="275"/>
      <c r="N56" s="275"/>
      <c r="O56" s="275"/>
      <c r="P56" s="275">
        <f t="shared" si="8"/>
        <v>53</v>
      </c>
      <c r="Q56" s="288"/>
      <c r="R56" s="282">
        <v>50</v>
      </c>
      <c r="S56" s="282">
        <v>50</v>
      </c>
      <c r="T56" s="282">
        <v>50</v>
      </c>
      <c r="U56" s="282">
        <v>50</v>
      </c>
      <c r="V56" s="282">
        <v>50</v>
      </c>
    </row>
    <row r="57" spans="1:35" hidden="1">
      <c r="A57" s="71" t="s">
        <v>133</v>
      </c>
      <c r="B57" s="71"/>
      <c r="C57" s="71"/>
      <c r="D57" s="71"/>
      <c r="E57" s="71"/>
      <c r="F57" s="261"/>
      <c r="G57" s="261"/>
      <c r="H57" s="261"/>
      <c r="I57" s="261"/>
      <c r="J57" s="275"/>
      <c r="K57" s="275"/>
      <c r="L57" s="276">
        <v>28</v>
      </c>
      <c r="M57" s="275"/>
      <c r="N57" s="275"/>
      <c r="O57" s="275"/>
      <c r="P57" s="275">
        <f t="shared" si="8"/>
        <v>28</v>
      </c>
      <c r="Q57" s="288"/>
      <c r="R57" s="282"/>
      <c r="S57" s="282"/>
      <c r="T57" s="282"/>
      <c r="U57" s="282"/>
      <c r="V57" s="282"/>
    </row>
    <row r="58" spans="1:35">
      <c r="A58" s="71" t="s">
        <v>210</v>
      </c>
      <c r="B58" s="71">
        <v>15</v>
      </c>
      <c r="C58" s="71">
        <v>17</v>
      </c>
      <c r="D58" s="71">
        <v>14</v>
      </c>
      <c r="E58" s="71"/>
      <c r="F58" s="261">
        <v>7</v>
      </c>
      <c r="G58" s="261"/>
      <c r="H58" s="261"/>
      <c r="I58" s="261"/>
      <c r="J58" s="275">
        <v>0</v>
      </c>
      <c r="K58" s="276"/>
      <c r="L58" s="276"/>
      <c r="M58" s="275"/>
      <c r="N58" s="275"/>
      <c r="O58" s="275"/>
      <c r="P58" s="275">
        <f t="shared" si="8"/>
        <v>0</v>
      </c>
      <c r="Q58" s="288" t="s">
        <v>167</v>
      </c>
      <c r="R58" s="282">
        <v>20</v>
      </c>
      <c r="S58" s="282">
        <v>20</v>
      </c>
      <c r="T58" s="282">
        <v>20</v>
      </c>
      <c r="U58" s="282">
        <v>20</v>
      </c>
      <c r="V58" s="282">
        <v>20</v>
      </c>
    </row>
    <row r="59" spans="1:35">
      <c r="A59" s="71" t="s">
        <v>306</v>
      </c>
      <c r="B59" s="71">
        <v>42</v>
      </c>
      <c r="C59" s="71"/>
      <c r="D59" s="71">
        <v>21</v>
      </c>
      <c r="E59" s="71">
        <v>20</v>
      </c>
      <c r="F59" s="261">
        <v>7</v>
      </c>
      <c r="G59" s="261"/>
      <c r="H59" s="261"/>
      <c r="I59" s="261"/>
      <c r="J59" s="275">
        <v>82</v>
      </c>
      <c r="K59" s="276">
        <v>21</v>
      </c>
      <c r="L59" s="276">
        <v>18</v>
      </c>
      <c r="M59" s="275">
        <v>1</v>
      </c>
      <c r="N59" s="275">
        <v>2</v>
      </c>
      <c r="O59" s="275"/>
      <c r="P59" s="275">
        <f t="shared" si="8"/>
        <v>124</v>
      </c>
      <c r="Q59" s="288" t="s">
        <v>167</v>
      </c>
      <c r="R59" s="282">
        <v>40</v>
      </c>
      <c r="S59" s="282">
        <v>40</v>
      </c>
      <c r="T59" s="282">
        <v>40</v>
      </c>
      <c r="U59" s="282">
        <v>40</v>
      </c>
      <c r="V59" s="282">
        <v>40</v>
      </c>
    </row>
    <row r="60" spans="1:35" hidden="1">
      <c r="A60" s="67" t="s">
        <v>211</v>
      </c>
      <c r="B60" s="67"/>
      <c r="C60" s="67"/>
      <c r="D60" s="67"/>
      <c r="E60" s="67"/>
      <c r="F60" s="268"/>
      <c r="G60" s="268"/>
      <c r="H60" s="268"/>
      <c r="I60" s="268"/>
      <c r="J60" s="277"/>
      <c r="K60" s="277"/>
      <c r="L60" s="277"/>
      <c r="M60" s="277"/>
      <c r="N60" s="277"/>
      <c r="O60" s="277"/>
      <c r="P60" s="273">
        <f t="shared" si="8"/>
        <v>0</v>
      </c>
      <c r="R60" s="294"/>
      <c r="S60" s="294"/>
      <c r="T60" s="294"/>
      <c r="U60" s="294"/>
      <c r="V60" s="294"/>
    </row>
    <row r="61" spans="1:35" hidden="1">
      <c r="A61" s="71" t="s">
        <v>133</v>
      </c>
      <c r="B61" s="71"/>
      <c r="C61" s="71"/>
      <c r="D61" s="71"/>
      <c r="E61" s="71"/>
      <c r="F61" s="261"/>
      <c r="G61" s="261"/>
      <c r="H61" s="261"/>
      <c r="I61" s="261"/>
      <c r="J61" s="275"/>
      <c r="K61" s="275"/>
      <c r="L61" s="275"/>
      <c r="M61" s="276">
        <v>12</v>
      </c>
      <c r="N61" s="275"/>
      <c r="O61" s="275"/>
      <c r="P61" s="279">
        <f t="shared" si="8"/>
        <v>12</v>
      </c>
      <c r="R61" s="282"/>
      <c r="S61" s="282"/>
      <c r="T61" s="282"/>
      <c r="U61" s="282"/>
      <c r="V61" s="282"/>
    </row>
    <row r="62" spans="1:35" hidden="1">
      <c r="A62" s="71" t="s">
        <v>212</v>
      </c>
      <c r="B62" s="71"/>
      <c r="C62" s="71"/>
      <c r="D62" s="71"/>
      <c r="E62" s="71"/>
      <c r="F62" s="261"/>
      <c r="G62" s="261"/>
      <c r="H62" s="261"/>
      <c r="I62" s="261"/>
      <c r="J62" s="275"/>
      <c r="K62" s="285">
        <v>162</v>
      </c>
      <c r="L62" s="275"/>
      <c r="M62" s="275">
        <v>97</v>
      </c>
      <c r="N62" s="275"/>
      <c r="O62" s="275"/>
      <c r="P62" s="279">
        <f t="shared" si="8"/>
        <v>259</v>
      </c>
      <c r="R62" s="282"/>
      <c r="S62" s="282"/>
      <c r="T62" s="282"/>
      <c r="U62" s="282"/>
      <c r="V62" s="282"/>
    </row>
    <row r="63" spans="1:35" hidden="1">
      <c r="A63" s="71" t="s">
        <v>213</v>
      </c>
      <c r="B63" s="71"/>
      <c r="C63" s="71"/>
      <c r="D63" s="71"/>
      <c r="E63" s="71"/>
      <c r="F63" s="261"/>
      <c r="G63" s="261"/>
      <c r="H63" s="261"/>
      <c r="I63" s="261"/>
      <c r="J63" s="275"/>
      <c r="K63" s="276">
        <v>69</v>
      </c>
      <c r="L63" s="276"/>
      <c r="M63" s="276"/>
      <c r="N63" s="276"/>
      <c r="O63" s="276"/>
      <c r="P63" s="279">
        <f t="shared" si="8"/>
        <v>69</v>
      </c>
      <c r="R63" s="282"/>
      <c r="S63" s="282"/>
      <c r="T63" s="282"/>
      <c r="U63" s="282"/>
      <c r="V63" s="282"/>
    </row>
    <row r="64" spans="1:35">
      <c r="A64" s="69" t="s">
        <v>138</v>
      </c>
      <c r="B64" s="69"/>
      <c r="C64" s="69">
        <v>48</v>
      </c>
      <c r="D64" s="69">
        <v>41</v>
      </c>
      <c r="E64" s="69">
        <v>17</v>
      </c>
      <c r="F64" s="269">
        <v>16</v>
      </c>
      <c r="G64" s="269"/>
      <c r="H64" s="269"/>
      <c r="I64" s="269"/>
      <c r="J64" s="279">
        <v>234</v>
      </c>
      <c r="K64" s="280">
        <v>35</v>
      </c>
      <c r="L64" s="280">
        <v>98</v>
      </c>
      <c r="M64" s="280">
        <v>34</v>
      </c>
      <c r="N64" s="280">
        <v>14</v>
      </c>
      <c r="O64" s="280"/>
      <c r="P64" s="279">
        <f t="shared" si="8"/>
        <v>415</v>
      </c>
      <c r="R64" s="66">
        <v>60</v>
      </c>
      <c r="S64" s="66">
        <v>60</v>
      </c>
      <c r="T64" s="66">
        <v>60</v>
      </c>
      <c r="U64" s="66">
        <v>60</v>
      </c>
      <c r="V64" s="66">
        <v>60</v>
      </c>
    </row>
    <row r="65" spans="1:35">
      <c r="A65" s="60" t="s">
        <v>6</v>
      </c>
      <c r="B65" s="234">
        <f>SUM(B53:B64)</f>
        <v>106</v>
      </c>
      <c r="C65" s="234">
        <f>SUM(C53:C64)</f>
        <v>120</v>
      </c>
      <c r="D65" s="234">
        <f t="shared" ref="D65:O65" si="20">SUM(D53:D64)</f>
        <v>125</v>
      </c>
      <c r="E65" s="234">
        <f t="shared" si="20"/>
        <v>82</v>
      </c>
      <c r="F65" s="234">
        <f t="shared" si="20"/>
        <v>57</v>
      </c>
      <c r="G65" s="234">
        <f t="shared" si="20"/>
        <v>0</v>
      </c>
      <c r="H65" s="234">
        <f t="shared" si="20"/>
        <v>0</v>
      </c>
      <c r="I65" s="234">
        <f t="shared" si="20"/>
        <v>0</v>
      </c>
      <c r="J65" s="49">
        <f t="shared" si="20"/>
        <v>349</v>
      </c>
      <c r="K65" s="49">
        <f t="shared" si="20"/>
        <v>287</v>
      </c>
      <c r="L65" s="49">
        <f t="shared" si="20"/>
        <v>200</v>
      </c>
      <c r="M65" s="49">
        <f t="shared" si="20"/>
        <v>144</v>
      </c>
      <c r="N65" s="49">
        <f t="shared" si="20"/>
        <v>16</v>
      </c>
      <c r="O65" s="49">
        <f t="shared" si="20"/>
        <v>0</v>
      </c>
      <c r="P65" s="281">
        <f t="shared" si="8"/>
        <v>996</v>
      </c>
      <c r="Q65" s="49">
        <f>26+48+23+18+56+38</f>
        <v>209</v>
      </c>
      <c r="R65" s="49">
        <f>SUM(R53:R64)</f>
        <v>195</v>
      </c>
      <c r="S65" s="49">
        <f t="shared" ref="S65:V65" si="21">SUM(S53:S64)</f>
        <v>170</v>
      </c>
      <c r="T65" s="49">
        <f t="shared" si="21"/>
        <v>195</v>
      </c>
      <c r="U65" s="49">
        <f t="shared" ref="U65" si="22">SUM(U53:U64)</f>
        <v>170</v>
      </c>
      <c r="V65" s="49">
        <f t="shared" si="21"/>
        <v>195</v>
      </c>
      <c r="W65" s="302">
        <f>H65</f>
        <v>0</v>
      </c>
      <c r="X65" s="302"/>
      <c r="Y65" s="302"/>
      <c r="Z65" s="302"/>
      <c r="AA65" s="306">
        <f>J65+J85</f>
        <v>590</v>
      </c>
      <c r="AB65" s="306">
        <f>J63+J64+J67</f>
        <v>319</v>
      </c>
    </row>
    <row r="66" spans="1:35">
      <c r="A66" s="257" t="s">
        <v>139</v>
      </c>
      <c r="B66" s="258"/>
      <c r="C66" s="258"/>
      <c r="D66" s="258"/>
      <c r="E66" s="258"/>
      <c r="F66" s="259"/>
      <c r="G66" s="259"/>
      <c r="H66" s="259"/>
      <c r="I66" s="259"/>
      <c r="J66" s="273"/>
      <c r="K66" s="273"/>
      <c r="L66" s="273"/>
      <c r="M66" s="273"/>
      <c r="N66" s="273"/>
      <c r="O66" s="273"/>
      <c r="P66" s="273">
        <f t="shared" si="8"/>
        <v>0</v>
      </c>
      <c r="R66" s="287"/>
      <c r="S66" s="287"/>
      <c r="T66" s="287"/>
      <c r="U66" s="287"/>
      <c r="V66" s="287"/>
    </row>
    <row r="67" spans="1:35">
      <c r="A67" s="71" t="s">
        <v>214</v>
      </c>
      <c r="B67" s="71">
        <v>42</v>
      </c>
      <c r="C67" s="71">
        <v>87</v>
      </c>
      <c r="D67" s="71">
        <v>55</v>
      </c>
      <c r="E67" s="71">
        <v>79</v>
      </c>
      <c r="F67" s="261">
        <v>18</v>
      </c>
      <c r="G67" s="261"/>
      <c r="H67" s="261"/>
      <c r="I67" s="261"/>
      <c r="J67" s="275">
        <v>85</v>
      </c>
      <c r="K67" s="276">
        <v>69</v>
      </c>
      <c r="L67" s="276"/>
      <c r="M67" s="276"/>
      <c r="N67" s="276"/>
      <c r="O67" s="276"/>
      <c r="P67" s="275">
        <f t="shared" si="8"/>
        <v>154</v>
      </c>
      <c r="Q67" s="288"/>
      <c r="R67" s="282">
        <v>40</v>
      </c>
      <c r="S67" s="282">
        <v>40</v>
      </c>
      <c r="T67" s="282">
        <v>40</v>
      </c>
      <c r="U67" s="282">
        <v>40</v>
      </c>
      <c r="V67" s="282">
        <v>40</v>
      </c>
      <c r="AA67" s="329" t="s">
        <v>166</v>
      </c>
      <c r="AB67" s="330" t="s">
        <v>215</v>
      </c>
      <c r="AC67" s="331"/>
      <c r="AI67" s="328" t="s">
        <v>331</v>
      </c>
    </row>
    <row r="68" spans="1:35" hidden="1">
      <c r="A68" s="71" t="s">
        <v>216</v>
      </c>
      <c r="B68" s="71"/>
      <c r="C68" s="71"/>
      <c r="D68" s="71"/>
      <c r="E68" s="71"/>
      <c r="F68" s="261"/>
      <c r="G68" s="261"/>
      <c r="H68" s="261"/>
      <c r="I68" s="261"/>
      <c r="J68" s="275"/>
      <c r="K68" s="276"/>
      <c r="L68" s="276">
        <v>126</v>
      </c>
      <c r="M68" s="276">
        <v>48</v>
      </c>
      <c r="N68" s="276">
        <v>49</v>
      </c>
      <c r="O68" s="276"/>
      <c r="P68" s="275">
        <f t="shared" si="8"/>
        <v>223</v>
      </c>
      <c r="Q68" s="288"/>
      <c r="R68" s="282"/>
      <c r="S68" s="282"/>
      <c r="T68" s="282"/>
      <c r="U68" s="282"/>
      <c r="V68" s="282"/>
      <c r="AA68" s="332"/>
      <c r="AB68" s="333"/>
      <c r="AC68" s="334"/>
    </row>
    <row r="69" spans="1:35" hidden="1">
      <c r="A69" s="71" t="s">
        <v>217</v>
      </c>
      <c r="B69" s="71"/>
      <c r="C69" s="71"/>
      <c r="D69" s="71"/>
      <c r="E69" s="71"/>
      <c r="F69" s="261"/>
      <c r="G69" s="261"/>
      <c r="H69" s="261"/>
      <c r="I69" s="261"/>
      <c r="J69" s="275"/>
      <c r="K69" s="275"/>
      <c r="L69" s="276"/>
      <c r="M69" s="275"/>
      <c r="N69" s="275"/>
      <c r="O69" s="275"/>
      <c r="P69" s="275">
        <f t="shared" si="8"/>
        <v>0</v>
      </c>
      <c r="Q69" s="288" t="s">
        <v>218</v>
      </c>
      <c r="R69" s="282"/>
      <c r="S69" s="282"/>
      <c r="T69" s="282"/>
      <c r="U69" s="282"/>
      <c r="V69" s="282"/>
      <c r="AA69" s="332"/>
      <c r="AB69" s="333"/>
      <c r="AC69" s="334"/>
    </row>
    <row r="70" spans="1:35" hidden="1">
      <c r="A70" s="71" t="s">
        <v>221</v>
      </c>
      <c r="B70" s="71"/>
      <c r="C70" s="71"/>
      <c r="D70" s="71"/>
      <c r="E70" s="71"/>
      <c r="F70" s="261"/>
      <c r="G70" s="261"/>
      <c r="H70" s="261"/>
      <c r="I70" s="261"/>
      <c r="J70" s="275">
        <f>SUM(C70:H70)</f>
        <v>0</v>
      </c>
      <c r="K70" s="276">
        <v>128</v>
      </c>
      <c r="L70" s="276">
        <v>122</v>
      </c>
      <c r="M70" s="276">
        <v>11</v>
      </c>
      <c r="N70" s="275">
        <v>7</v>
      </c>
      <c r="O70" s="276"/>
      <c r="P70" s="275">
        <f t="shared" si="8"/>
        <v>268</v>
      </c>
      <c r="Q70" s="288"/>
      <c r="R70" s="282"/>
      <c r="S70" s="282"/>
      <c r="T70" s="282"/>
      <c r="U70" s="282"/>
      <c r="V70" s="282"/>
      <c r="AA70" s="306"/>
      <c r="AD70" s="47">
        <f>2498+60</f>
        <v>2558</v>
      </c>
    </row>
    <row r="71" spans="1:35" hidden="1">
      <c r="A71" s="71" t="s">
        <v>223</v>
      </c>
      <c r="B71" s="71"/>
      <c r="C71" s="71"/>
      <c r="D71" s="71"/>
      <c r="E71" s="71"/>
      <c r="F71" s="261"/>
      <c r="G71" s="261"/>
      <c r="H71" s="261"/>
      <c r="I71" s="261"/>
      <c r="J71" s="275">
        <f>SUM(C71:G71)</f>
        <v>0</v>
      </c>
      <c r="K71" s="275"/>
      <c r="L71" s="276"/>
      <c r="M71" s="276"/>
      <c r="N71" s="275"/>
      <c r="O71" s="275"/>
      <c r="P71" s="275">
        <f t="shared" si="8"/>
        <v>0</v>
      </c>
      <c r="Q71" s="288" t="s">
        <v>218</v>
      </c>
      <c r="R71" s="282"/>
      <c r="S71" s="282"/>
      <c r="T71" s="282"/>
      <c r="U71" s="282"/>
      <c r="V71" s="282"/>
    </row>
    <row r="72" spans="1:35">
      <c r="A72" s="71" t="s">
        <v>332</v>
      </c>
      <c r="B72" s="71">
        <v>58</v>
      </c>
      <c r="C72" s="71">
        <v>53</v>
      </c>
      <c r="D72" s="71">
        <v>12</v>
      </c>
      <c r="E72" s="71">
        <v>2</v>
      </c>
      <c r="F72" s="261">
        <v>3</v>
      </c>
      <c r="G72" s="261"/>
      <c r="H72" s="261"/>
      <c r="I72" s="261"/>
      <c r="J72" s="275">
        <v>76</v>
      </c>
      <c r="K72" s="276"/>
      <c r="L72" s="276"/>
      <c r="M72" s="276"/>
      <c r="N72" s="275"/>
      <c r="O72" s="275"/>
      <c r="P72" s="275">
        <f t="shared" ref="P72" si="23">SUM(J72:O72)</f>
        <v>76</v>
      </c>
      <c r="Q72" s="288"/>
      <c r="R72" s="282">
        <v>50</v>
      </c>
      <c r="S72" s="282">
        <v>50</v>
      </c>
      <c r="T72" s="282">
        <v>50</v>
      </c>
      <c r="U72" s="282">
        <v>50</v>
      </c>
      <c r="V72" s="282">
        <v>50</v>
      </c>
    </row>
    <row r="73" spans="1:35" hidden="1">
      <c r="A73" s="71" t="s">
        <v>226</v>
      </c>
      <c r="B73" s="71"/>
      <c r="C73" s="71"/>
      <c r="D73" s="71"/>
      <c r="E73" s="71"/>
      <c r="F73" s="261"/>
      <c r="G73" s="261"/>
      <c r="H73" s="261"/>
      <c r="I73" s="261"/>
      <c r="J73" s="275">
        <f t="shared" ref="J73:J78" si="24">SUM(C73:G73)</f>
        <v>0</v>
      </c>
      <c r="K73" s="276"/>
      <c r="L73" s="275"/>
      <c r="M73" s="275"/>
      <c r="N73" s="275"/>
      <c r="O73" s="275"/>
      <c r="P73" s="275">
        <f t="shared" si="8"/>
        <v>0</v>
      </c>
      <c r="Q73" s="288"/>
      <c r="R73" s="282"/>
      <c r="S73" s="282"/>
      <c r="T73" s="282"/>
      <c r="U73" s="282"/>
      <c r="V73" s="282"/>
    </row>
    <row r="74" spans="1:35" hidden="1">
      <c r="A74" s="71" t="s">
        <v>227</v>
      </c>
      <c r="B74" s="71"/>
      <c r="C74" s="71"/>
      <c r="D74" s="71"/>
      <c r="E74" s="71"/>
      <c r="F74" s="261"/>
      <c r="G74" s="261"/>
      <c r="H74" s="261"/>
      <c r="I74" s="261"/>
      <c r="J74" s="275">
        <f t="shared" si="24"/>
        <v>0</v>
      </c>
      <c r="K74" s="276"/>
      <c r="L74" s="275"/>
      <c r="M74" s="275"/>
      <c r="N74" s="275"/>
      <c r="O74" s="275"/>
      <c r="P74" s="275">
        <f t="shared" si="8"/>
        <v>0</v>
      </c>
      <c r="Q74" s="288"/>
      <c r="R74" s="282"/>
      <c r="S74" s="282"/>
      <c r="T74" s="282"/>
      <c r="U74" s="282"/>
      <c r="V74" s="282"/>
    </row>
    <row r="75" spans="1:35" hidden="1">
      <c r="A75" s="71" t="s">
        <v>143</v>
      </c>
      <c r="B75" s="71"/>
      <c r="C75" s="71"/>
      <c r="D75" s="71"/>
      <c r="E75" s="71"/>
      <c r="F75" s="261"/>
      <c r="G75" s="261"/>
      <c r="H75" s="261"/>
      <c r="I75" s="261"/>
      <c r="J75" s="275">
        <f t="shared" si="24"/>
        <v>0</v>
      </c>
      <c r="K75" s="275"/>
      <c r="L75" s="275"/>
      <c r="M75" s="275"/>
      <c r="N75" s="275"/>
      <c r="O75" s="275"/>
      <c r="P75" s="275">
        <f t="shared" si="8"/>
        <v>0</v>
      </c>
      <c r="Q75" s="288"/>
      <c r="R75" s="282"/>
      <c r="S75" s="282"/>
      <c r="T75" s="282"/>
      <c r="U75" s="282"/>
      <c r="V75" s="282"/>
    </row>
    <row r="76" spans="1:35" hidden="1">
      <c r="A76" s="71" t="s">
        <v>144</v>
      </c>
      <c r="B76" s="71"/>
      <c r="C76" s="71"/>
      <c r="D76" s="71"/>
      <c r="E76" s="71"/>
      <c r="F76" s="261"/>
      <c r="G76" s="261"/>
      <c r="H76" s="261"/>
      <c r="I76" s="261"/>
      <c r="J76" s="275">
        <f t="shared" si="24"/>
        <v>0</v>
      </c>
      <c r="K76" s="275"/>
      <c r="L76" s="275"/>
      <c r="M76" s="275"/>
      <c r="N76" s="275"/>
      <c r="O76" s="275"/>
      <c r="P76" s="275">
        <f t="shared" si="8"/>
        <v>0</v>
      </c>
      <c r="Q76" s="288"/>
      <c r="R76" s="282"/>
      <c r="S76" s="282"/>
      <c r="T76" s="282"/>
      <c r="U76" s="282"/>
      <c r="V76" s="282"/>
    </row>
    <row r="77" spans="1:35" hidden="1">
      <c r="A77" s="71" t="s">
        <v>145</v>
      </c>
      <c r="B77" s="71"/>
      <c r="C77" s="71"/>
      <c r="D77" s="71"/>
      <c r="E77" s="71"/>
      <c r="F77" s="261"/>
      <c r="G77" s="261"/>
      <c r="H77" s="261"/>
      <c r="I77" s="261"/>
      <c r="J77" s="275">
        <f t="shared" si="24"/>
        <v>0</v>
      </c>
      <c r="K77" s="275"/>
      <c r="L77" s="276">
        <v>26</v>
      </c>
      <c r="M77" s="276">
        <v>1</v>
      </c>
      <c r="N77" s="275"/>
      <c r="O77" s="275"/>
      <c r="P77" s="275">
        <f t="shared" si="8"/>
        <v>27</v>
      </c>
      <c r="Q77" s="288"/>
      <c r="R77" s="282"/>
      <c r="S77" s="282"/>
      <c r="T77" s="282"/>
      <c r="U77" s="282"/>
      <c r="V77" s="282"/>
    </row>
    <row r="78" spans="1:35" hidden="1">
      <c r="A78" s="71" t="s">
        <v>147</v>
      </c>
      <c r="B78" s="71"/>
      <c r="C78" s="71"/>
      <c r="D78" s="71"/>
      <c r="E78" s="71"/>
      <c r="F78" s="261"/>
      <c r="G78" s="261"/>
      <c r="H78" s="261"/>
      <c r="I78" s="261"/>
      <c r="J78" s="275">
        <f t="shared" si="24"/>
        <v>0</v>
      </c>
      <c r="K78" s="275">
        <v>85</v>
      </c>
      <c r="L78" s="275">
        <v>66</v>
      </c>
      <c r="M78" s="276">
        <v>14</v>
      </c>
      <c r="N78" s="275">
        <v>7</v>
      </c>
      <c r="O78" s="275"/>
      <c r="P78" s="275">
        <f t="shared" si="8"/>
        <v>172</v>
      </c>
      <c r="Q78" s="288"/>
      <c r="R78" s="282"/>
      <c r="S78" s="282"/>
      <c r="T78" s="282"/>
      <c r="U78" s="282"/>
      <c r="V78" s="282"/>
    </row>
    <row r="79" spans="1:35" hidden="1">
      <c r="A79" s="71" t="s">
        <v>225</v>
      </c>
      <c r="B79" s="71"/>
      <c r="C79" s="71"/>
      <c r="D79" s="71"/>
      <c r="E79" s="71"/>
      <c r="F79" s="261"/>
      <c r="G79" s="261"/>
      <c r="H79" s="261"/>
      <c r="I79" s="261"/>
      <c r="J79" s="275">
        <f>SUM(C79:H79)</f>
        <v>0</v>
      </c>
      <c r="K79" s="276"/>
      <c r="L79" s="276"/>
      <c r="M79" s="275"/>
      <c r="N79" s="276"/>
      <c r="O79" s="275"/>
      <c r="P79" s="275">
        <f t="shared" si="8"/>
        <v>0</v>
      </c>
      <c r="Q79" s="288"/>
      <c r="R79" s="282"/>
      <c r="S79" s="282"/>
      <c r="T79" s="282"/>
      <c r="U79" s="282"/>
      <c r="V79" s="282"/>
    </row>
    <row r="80" spans="1:35" hidden="1">
      <c r="A80" s="71" t="s">
        <v>220</v>
      </c>
      <c r="B80" s="71"/>
      <c r="C80" s="71"/>
      <c r="D80" s="71"/>
      <c r="E80" s="71"/>
      <c r="F80" s="261"/>
      <c r="G80" s="261"/>
      <c r="H80" s="261"/>
      <c r="I80" s="261"/>
      <c r="J80" s="275">
        <f>SUM(C80:H80)</f>
        <v>0</v>
      </c>
      <c r="K80" s="275"/>
      <c r="L80" s="275"/>
      <c r="M80" s="275"/>
      <c r="N80" s="275"/>
      <c r="O80" s="275"/>
      <c r="P80" s="275">
        <f t="shared" si="8"/>
        <v>0</v>
      </c>
      <c r="Q80" s="288"/>
      <c r="R80" s="282"/>
      <c r="S80" s="282"/>
      <c r="T80" s="282"/>
      <c r="U80" s="282"/>
      <c r="V80" s="282"/>
    </row>
    <row r="81" spans="1:37">
      <c r="A81" s="71" t="s">
        <v>254</v>
      </c>
      <c r="B81" s="71">
        <v>29</v>
      </c>
      <c r="C81" s="71"/>
      <c r="D81" s="71"/>
      <c r="E81" s="71"/>
      <c r="F81" s="261"/>
      <c r="G81" s="261"/>
      <c r="H81" s="261"/>
      <c r="I81" s="261"/>
      <c r="J81" s="275">
        <v>22</v>
      </c>
      <c r="K81" s="276">
        <v>170</v>
      </c>
      <c r="L81" s="276">
        <v>102</v>
      </c>
      <c r="M81" s="276">
        <v>9</v>
      </c>
      <c r="N81" s="275">
        <v>5</v>
      </c>
      <c r="O81" s="275"/>
      <c r="P81" s="275">
        <f t="shared" si="8"/>
        <v>308</v>
      </c>
      <c r="Q81" s="288"/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AA81" s="306">
        <f>J70</f>
        <v>0</v>
      </c>
      <c r="AB81" s="306">
        <f>J66</f>
        <v>0</v>
      </c>
    </row>
    <row r="82" spans="1:37">
      <c r="A82" s="67" t="s">
        <v>333</v>
      </c>
      <c r="B82" s="67">
        <v>41</v>
      </c>
      <c r="C82" s="67">
        <v>43</v>
      </c>
      <c r="D82" s="67">
        <v>19</v>
      </c>
      <c r="E82" s="67">
        <v>10</v>
      </c>
      <c r="F82" s="268">
        <v>9</v>
      </c>
      <c r="G82" s="268"/>
      <c r="H82" s="268"/>
      <c r="I82" s="268"/>
      <c r="J82" s="277">
        <v>58</v>
      </c>
      <c r="K82" s="278">
        <v>170</v>
      </c>
      <c r="L82" s="278">
        <v>102</v>
      </c>
      <c r="M82" s="278">
        <v>9</v>
      </c>
      <c r="N82" s="277">
        <v>5</v>
      </c>
      <c r="O82" s="277"/>
      <c r="P82" s="273">
        <f t="shared" si="8"/>
        <v>344</v>
      </c>
      <c r="R82" s="294">
        <v>40</v>
      </c>
      <c r="S82" s="294">
        <v>40</v>
      </c>
      <c r="T82" s="294">
        <v>40</v>
      </c>
      <c r="U82" s="294">
        <v>40</v>
      </c>
      <c r="V82" s="294">
        <v>40</v>
      </c>
      <c r="AA82" s="306" t="e">
        <f>#REF!</f>
        <v>#REF!</v>
      </c>
      <c r="AB82" s="306">
        <f>J67</f>
        <v>85</v>
      </c>
      <c r="AK82" s="47">
        <f>2000*9</f>
        <v>18000</v>
      </c>
    </row>
    <row r="83" spans="1:37" hidden="1">
      <c r="A83" s="71" t="s">
        <v>230</v>
      </c>
      <c r="B83" s="71"/>
      <c r="C83" s="71"/>
      <c r="D83" s="71"/>
      <c r="E83" s="71"/>
      <c r="F83" s="261"/>
      <c r="G83" s="261"/>
      <c r="H83" s="261"/>
      <c r="I83" s="261"/>
      <c r="J83" s="275">
        <f>SUM(C83:H83)</f>
        <v>0</v>
      </c>
      <c r="K83" s="275"/>
      <c r="L83" s="275"/>
      <c r="M83" s="275"/>
      <c r="N83" s="275"/>
      <c r="O83" s="275"/>
      <c r="P83" s="279">
        <f t="shared" si="8"/>
        <v>0</v>
      </c>
      <c r="R83" s="282"/>
      <c r="S83" s="282"/>
      <c r="T83" s="282"/>
      <c r="U83" s="282"/>
      <c r="V83" s="282"/>
    </row>
    <row r="84" spans="1:37" hidden="1">
      <c r="A84" s="69" t="s">
        <v>156</v>
      </c>
      <c r="B84" s="69"/>
      <c r="C84" s="69"/>
      <c r="D84" s="69"/>
      <c r="E84" s="69"/>
      <c r="F84" s="269"/>
      <c r="G84" s="269"/>
      <c r="H84" s="269"/>
      <c r="I84" s="269"/>
      <c r="J84" s="279"/>
      <c r="K84" s="279"/>
      <c r="L84" s="279"/>
      <c r="M84" s="279"/>
      <c r="N84" s="279"/>
      <c r="O84" s="279"/>
      <c r="P84" s="279">
        <f t="shared" si="8"/>
        <v>0</v>
      </c>
      <c r="R84" s="297"/>
      <c r="S84" s="297"/>
      <c r="T84" s="297"/>
      <c r="U84" s="297"/>
      <c r="V84" s="297"/>
    </row>
    <row r="85" spans="1:37">
      <c r="A85" s="60" t="s">
        <v>6</v>
      </c>
      <c r="B85" s="234">
        <f t="shared" ref="B85:O85" si="25">SUM(B67:B84)</f>
        <v>170</v>
      </c>
      <c r="C85" s="234">
        <f t="shared" si="25"/>
        <v>183</v>
      </c>
      <c r="D85" s="234">
        <f t="shared" si="25"/>
        <v>86</v>
      </c>
      <c r="E85" s="234">
        <f t="shared" si="25"/>
        <v>91</v>
      </c>
      <c r="F85" s="234">
        <f t="shared" si="25"/>
        <v>30</v>
      </c>
      <c r="G85" s="234">
        <f t="shared" si="25"/>
        <v>0</v>
      </c>
      <c r="H85" s="234">
        <f t="shared" si="25"/>
        <v>0</v>
      </c>
      <c r="I85" s="234">
        <f t="shared" si="25"/>
        <v>0</v>
      </c>
      <c r="J85" s="49">
        <f t="shared" si="25"/>
        <v>241</v>
      </c>
      <c r="K85" s="49">
        <f t="shared" si="25"/>
        <v>622</v>
      </c>
      <c r="L85" s="49">
        <f t="shared" si="25"/>
        <v>544</v>
      </c>
      <c r="M85" s="49">
        <f t="shared" si="25"/>
        <v>92</v>
      </c>
      <c r="N85" s="49">
        <f t="shared" si="25"/>
        <v>73</v>
      </c>
      <c r="O85" s="49">
        <f t="shared" si="25"/>
        <v>0</v>
      </c>
      <c r="P85" s="49">
        <f t="shared" si="8"/>
        <v>1572</v>
      </c>
      <c r="Q85" s="53"/>
      <c r="R85" s="49">
        <f t="shared" ref="R85:V85" si="26">SUM(R67:R84)</f>
        <v>130</v>
      </c>
      <c r="S85" s="49">
        <f t="shared" si="26"/>
        <v>130</v>
      </c>
      <c r="T85" s="49">
        <f t="shared" si="26"/>
        <v>130</v>
      </c>
      <c r="U85" s="49">
        <f t="shared" ref="U85" si="27">SUM(U67:U84)</f>
        <v>130</v>
      </c>
      <c r="V85" s="49">
        <f t="shared" si="26"/>
        <v>130</v>
      </c>
      <c r="W85" s="302">
        <f>H85</f>
        <v>0</v>
      </c>
      <c r="X85" s="302"/>
      <c r="Y85" s="302"/>
      <c r="AA85" s="306" t="e">
        <f>J85-(AA82+AB82)</f>
        <v>#REF!</v>
      </c>
      <c r="AB85" s="306">
        <f>J67</f>
        <v>85</v>
      </c>
    </row>
    <row r="86" spans="1:37" hidden="1">
      <c r="A86" s="314" t="s">
        <v>159</v>
      </c>
      <c r="B86" s="315">
        <f t="shared" ref="B86:J86" si="28">SUM(B20,B41,B51,B65,B85,B45)</f>
        <v>358</v>
      </c>
      <c r="C86" s="315">
        <f t="shared" si="28"/>
        <v>353</v>
      </c>
      <c r="D86" s="315">
        <f t="shared" si="28"/>
        <v>231</v>
      </c>
      <c r="E86" s="315">
        <f t="shared" si="28"/>
        <v>211</v>
      </c>
      <c r="F86" s="315">
        <f t="shared" si="28"/>
        <v>99</v>
      </c>
      <c r="G86" s="315">
        <f t="shared" si="28"/>
        <v>0</v>
      </c>
      <c r="H86" s="315">
        <f t="shared" si="28"/>
        <v>0</v>
      </c>
      <c r="I86" s="315">
        <f t="shared" si="28"/>
        <v>0</v>
      </c>
      <c r="J86" s="322">
        <f t="shared" si="28"/>
        <v>631</v>
      </c>
      <c r="K86" s="322">
        <f t="shared" ref="K86:P86" si="29">SUM(K20,K41,K51,K65,K85)</f>
        <v>1304</v>
      </c>
      <c r="L86" s="322">
        <f t="shared" si="29"/>
        <v>1190</v>
      </c>
      <c r="M86" s="322">
        <f t="shared" si="29"/>
        <v>272</v>
      </c>
      <c r="N86" s="322">
        <f t="shared" si="29"/>
        <v>144</v>
      </c>
      <c r="O86" s="322">
        <f t="shared" si="29"/>
        <v>0</v>
      </c>
      <c r="P86" s="322">
        <f t="shared" si="29"/>
        <v>3541</v>
      </c>
      <c r="Q86" s="48">
        <v>3678</v>
      </c>
      <c r="R86" s="326"/>
      <c r="S86" s="326"/>
      <c r="T86" s="326"/>
      <c r="U86" s="326"/>
      <c r="V86" s="326"/>
      <c r="W86" s="327">
        <f>SUM(W7:W85)</f>
        <v>0</v>
      </c>
      <c r="X86" s="327"/>
      <c r="Y86" s="327"/>
      <c r="AB86" s="306">
        <f>F86+11+5</f>
        <v>115</v>
      </c>
      <c r="AC86" s="306">
        <f>J86+16</f>
        <v>647</v>
      </c>
    </row>
    <row r="87" spans="1:37" hidden="1">
      <c r="B87" s="306">
        <f>B86+บัณฑิตศึกษา!B41</f>
        <v>732</v>
      </c>
      <c r="G87" s="306">
        <f>J86+บัณฑิตศึกษา!I41</f>
        <v>1671</v>
      </c>
      <c r="J87" s="323" t="e">
        <f>X23-X11</f>
        <v>#REF!</v>
      </c>
      <c r="W87" s="47">
        <f>3554-329</f>
        <v>3225</v>
      </c>
    </row>
    <row r="88" spans="1:37" hidden="1">
      <c r="A88" s="887" t="s">
        <v>255</v>
      </c>
      <c r="B88" s="888"/>
      <c r="C88" s="888"/>
      <c r="D88" s="888"/>
      <c r="G88" s="316"/>
      <c r="H88" s="316"/>
      <c r="I88" s="316"/>
      <c r="J88" s="324">
        <v>1538</v>
      </c>
      <c r="K88" s="325"/>
      <c r="L88" s="325"/>
      <c r="M88" s="325"/>
      <c r="N88" s="325"/>
      <c r="O88" s="325"/>
      <c r="P88" s="325">
        <v>28</v>
      </c>
      <c r="Q88" s="325"/>
      <c r="R88" s="328"/>
      <c r="S88" s="328"/>
      <c r="T88" s="328"/>
      <c r="U88" s="328"/>
      <c r="V88" s="328"/>
      <c r="W88" s="45" t="s">
        <v>322</v>
      </c>
    </row>
    <row r="89" spans="1:37" hidden="1">
      <c r="A89" s="317" t="s">
        <v>162</v>
      </c>
      <c r="B89" s="318"/>
      <c r="G89" s="306"/>
      <c r="J89" s="325">
        <f>J86-J88</f>
        <v>-907</v>
      </c>
      <c r="K89" s="325"/>
      <c r="L89" s="325"/>
      <c r="M89" s="325"/>
      <c r="N89" s="325"/>
      <c r="O89" s="325"/>
      <c r="P89" s="325"/>
      <c r="Q89" s="325"/>
      <c r="R89" s="328"/>
      <c r="S89" s="328"/>
      <c r="T89" s="328"/>
      <c r="U89" s="328"/>
      <c r="V89" s="328"/>
      <c r="W89" s="45" t="s">
        <v>323</v>
      </c>
    </row>
    <row r="90" spans="1:37" hidden="1">
      <c r="A90" s="317"/>
      <c r="B90" s="318"/>
    </row>
    <row r="91" spans="1:37" hidden="1">
      <c r="A91" s="319"/>
      <c r="B91" s="318"/>
    </row>
    <row r="92" spans="1:37" hidden="1">
      <c r="A92" s="320" t="s">
        <v>165</v>
      </c>
      <c r="B92" s="320"/>
      <c r="C92" s="306">
        <f>G20</f>
        <v>0</v>
      </c>
      <c r="J92" s="48">
        <v>1436</v>
      </c>
      <c r="AA92" s="47">
        <f>3606+153</f>
        <v>3759</v>
      </c>
    </row>
    <row r="93" spans="1:37" hidden="1">
      <c r="A93" s="320" t="s">
        <v>166</v>
      </c>
      <c r="B93" s="320"/>
      <c r="C93" s="306" t="e">
        <f>(G41+G65+G85)-C94</f>
        <v>#REF!</v>
      </c>
    </row>
    <row r="94" spans="1:37" hidden="1">
      <c r="A94" s="320" t="s">
        <v>167</v>
      </c>
      <c r="B94" s="320"/>
      <c r="C94" s="47" t="e">
        <f>#REF!</f>
        <v>#REF!</v>
      </c>
      <c r="AA94" s="306">
        <f>J86-AA92</f>
        <v>-3128</v>
      </c>
    </row>
    <row r="95" spans="1:37" hidden="1">
      <c r="A95" s="320" t="s">
        <v>231</v>
      </c>
      <c r="B95" s="320"/>
      <c r="C95" s="47">
        <v>0</v>
      </c>
      <c r="J95" s="48">
        <f>J86-67</f>
        <v>564</v>
      </c>
    </row>
    <row r="96" spans="1:37" hidden="1">
      <c r="A96" s="320" t="s">
        <v>168</v>
      </c>
      <c r="B96" s="320"/>
      <c r="C96" s="47">
        <f>บัณฑิตศึกษา!F44</f>
        <v>0</v>
      </c>
    </row>
    <row r="97" spans="1:5" hidden="1">
      <c r="A97" s="320" t="s">
        <v>169</v>
      </c>
      <c r="B97" s="320"/>
      <c r="C97" s="47">
        <f>บัณฑิตศึกษา!F45</f>
        <v>0</v>
      </c>
    </row>
    <row r="98" spans="1:5" hidden="1">
      <c r="C98" s="306" t="e">
        <f>SUM(C92:C97)</f>
        <v>#REF!</v>
      </c>
    </row>
    <row r="99" spans="1:5" hidden="1">
      <c r="A99" s="321"/>
      <c r="B99" s="321"/>
      <c r="C99" s="321"/>
      <c r="D99" s="321"/>
    </row>
    <row r="100" spans="1:5" hidden="1"/>
    <row r="101" spans="1:5" hidden="1"/>
    <row r="102" spans="1:5" hidden="1">
      <c r="C102" s="47" t="s">
        <v>164</v>
      </c>
      <c r="D102" s="47" t="s">
        <v>163</v>
      </c>
    </row>
    <row r="103" spans="1:5" hidden="1">
      <c r="A103" s="320" t="s">
        <v>232</v>
      </c>
      <c r="B103" s="320"/>
    </row>
    <row r="104" spans="1:5" hidden="1">
      <c r="A104" s="320" t="s">
        <v>23</v>
      </c>
      <c r="B104" s="320"/>
    </row>
    <row r="105" spans="1:5" hidden="1">
      <c r="A105" s="320" t="s">
        <v>233</v>
      </c>
      <c r="B105" s="320"/>
      <c r="C105" s="306">
        <f>W51+W45+W41</f>
        <v>0</v>
      </c>
      <c r="D105" s="306">
        <f>W85+W65</f>
        <v>0</v>
      </c>
      <c r="E105" s="306">
        <f>SUM(C105:D105)</f>
        <v>0</v>
      </c>
    </row>
    <row r="106" spans="1:5" hidden="1">
      <c r="A106" s="320" t="s">
        <v>234</v>
      </c>
      <c r="B106" s="320"/>
    </row>
    <row r="107" spans="1:5" hidden="1">
      <c r="A107" s="320" t="s">
        <v>44</v>
      </c>
      <c r="B107" s="320"/>
    </row>
    <row r="108" spans="1:5" hidden="1">
      <c r="A108" s="320" t="s">
        <v>6</v>
      </c>
      <c r="B108" s="320"/>
    </row>
    <row r="109" spans="1:5" hidden="1"/>
    <row r="110" spans="1:5" hidden="1"/>
    <row r="111" spans="1:5" hidden="1"/>
  </sheetData>
  <mergeCells count="12">
    <mergeCell ref="X23:Z23"/>
    <mergeCell ref="A88:D88"/>
    <mergeCell ref="A3:A5"/>
    <mergeCell ref="J3:J4"/>
    <mergeCell ref="P4:P5"/>
    <mergeCell ref="W9:W10"/>
    <mergeCell ref="A1:V1"/>
    <mergeCell ref="C3:I3"/>
    <mergeCell ref="R3:V3"/>
    <mergeCell ref="W7:AC7"/>
    <mergeCell ref="X9:AB9"/>
    <mergeCell ref="AC9:AC10"/>
  </mergeCells>
  <printOptions horizontalCentered="1"/>
  <pageMargins left="0.43307086614173201" right="0.39370078740157499" top="0.98425196850393704" bottom="0.78740157480314998" header="0.55118110236220497" footer="0.31496062992126"/>
  <pageSetup paperSize="9" scale="85" orientation="portrait" horizontalDpi="300" verticalDpi="300" r:id="rId1"/>
  <headerFooter alignWithMargins="0">
    <oddFooter>&amp;Cหน้าที่ &amp;P จาก &amp;N</oddFooter>
  </headerFooter>
  <rowBreaks count="6" manualBreakCount="6">
    <brk id="20" max="21" man="1"/>
    <brk id="41" max="21" man="1"/>
    <brk id="45" max="21" man="1"/>
    <brk id="51" max="21" man="1"/>
    <brk id="65" max="21" man="1"/>
    <brk id="8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20</vt:i4>
      </vt:variant>
    </vt:vector>
  </HeadingPairs>
  <TitlesOfParts>
    <vt:vector size="40" baseType="lpstr">
      <vt:lpstr>นศ.รวม+สำเร็จ</vt:lpstr>
      <vt:lpstr>ปกติ</vt:lpstr>
      <vt:lpstr>ปกติตัดปี1</vt:lpstr>
      <vt:lpstr>กศ.ป.</vt:lpstr>
      <vt:lpstr>กศ.ป.ตัดปี1</vt:lpstr>
      <vt:lpstr>ปกติ (2)</vt:lpstr>
      <vt:lpstr>แผนรับนักศึกษา</vt:lpstr>
      <vt:lpstr>กศ.ป. (2)</vt:lpstr>
      <vt:lpstr>แผนการรับนักศึกษาพิเศษ</vt:lpstr>
      <vt:lpstr>บัณฑิตศึกษา</vt:lpstr>
      <vt:lpstr>บัณฑิตศึกษาตัดปี1</vt:lpstr>
      <vt:lpstr>นักเรียนรร.วิถีธรรม</vt:lpstr>
      <vt:lpstr>นศ.คงอยู่ปกติ</vt:lpstr>
      <vt:lpstr>นศ.คงอยู่พิเศษ</vt:lpstr>
      <vt:lpstr>Sheet1</vt:lpstr>
      <vt:lpstr>รวมทั้งสองภาค</vt:lpstr>
      <vt:lpstr>แผนรับบัณฑิตศึกษา</vt:lpstr>
      <vt:lpstr>นักเรียนวิถีธรรม</vt:lpstr>
      <vt:lpstr>นักเรียนวิถีธรรม (2)</vt:lpstr>
      <vt:lpstr>สรุปส่งจังหวัด5_4_59</vt:lpstr>
      <vt:lpstr>กศ.ป.!Print_Area</vt:lpstr>
      <vt:lpstr>'กศ.ป. (2)'!Print_Area</vt:lpstr>
      <vt:lpstr>กศ.ป.ตัดปี1!Print_Area</vt:lpstr>
      <vt:lpstr>บัณฑิตศึกษา!Print_Area</vt:lpstr>
      <vt:lpstr>บัณฑิตศึกษาตัดปี1!Print_Area</vt:lpstr>
      <vt:lpstr>ปกติ!Print_Area</vt:lpstr>
      <vt:lpstr>'ปกติ (2)'!Print_Area</vt:lpstr>
      <vt:lpstr>ปกติตัดปี1!Print_Area</vt:lpstr>
      <vt:lpstr>แผนการรับนักศึกษาพิเศษ!Print_Area</vt:lpstr>
      <vt:lpstr>แผนรับนักศึกษา!Print_Area</vt:lpstr>
      <vt:lpstr>แผนรับบัณฑิตศึกษา!Print_Area</vt:lpstr>
      <vt:lpstr>สรุปส่งจังหวัด5_4_59!Print_Area</vt:lpstr>
      <vt:lpstr>'กศ.ป. (2)'!Print_Titles</vt:lpstr>
      <vt:lpstr>บัณฑิตศึกษา!Print_Titles</vt:lpstr>
      <vt:lpstr>ปกติ!Print_Titles</vt:lpstr>
      <vt:lpstr>'ปกติ (2)'!Print_Titles</vt:lpstr>
      <vt:lpstr>ปกติตัดปี1!Print_Titles</vt:lpstr>
      <vt:lpstr>แผนการรับนักศึกษาพิเศษ!Print_Titles</vt:lpstr>
      <vt:lpstr>แผนรับนักศึกษา!Print_Titles</vt:lpstr>
      <vt:lpstr>แผนรับบัณฑิตศึกษา!Print_Titles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NIMPLAN</cp:lastModifiedBy>
  <cp:lastPrinted>2024-12-24T08:11:06Z</cp:lastPrinted>
  <dcterms:created xsi:type="dcterms:W3CDTF">2008-06-25T08:01:00Z</dcterms:created>
  <dcterms:modified xsi:type="dcterms:W3CDTF">2025-01-02T07:06:38Z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9123AE5F9B7D457C8F96131410FCDF20_12</vt:lpwstr>
  </property>
  <property fmtid="{D5CDD505-2E9C-101B-9397-08002B2CF9AE}" pid="3" name="KSOProductBuildVer">
    <vt:lpwstr>1054-12.2.0.16909</vt:lpwstr>
  </property>
</Properties>
</file>