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30" yWindow="0" windowWidth="11505" windowHeight="10260" tabRatio="997" firstSheet="7" activeTab="17"/>
  </bookViews>
  <sheets>
    <sheet name="นศ.รวม+สำเร็จ" sheetId="6" state="hidden" r:id="rId1"/>
    <sheet name="ปกติ" sheetId="1" state="hidden" r:id="rId2"/>
    <sheet name="ปกติตัดปี1" sheetId="21" state="hidden" r:id="rId3"/>
    <sheet name="กศ.ป." sheetId="4" state="hidden" r:id="rId4"/>
    <sheet name="กศ.ป.ตัดปี1" sheetId="22" state="hidden" r:id="rId5"/>
    <sheet name="ปกติ (2)" sheetId="25" state="hidden" r:id="rId6"/>
    <sheet name="กศ.ป. (2)" sheetId="26" state="hidden" r:id="rId7"/>
    <sheet name="แผนรับนักศึกษา " sheetId="33" r:id="rId8"/>
    <sheet name="แผนการรับนักศึกษาพิเศษ" sheetId="31" r:id="rId9"/>
    <sheet name="แผนรับนักศึกษาต่างชาติ" sheetId="34" r:id="rId10"/>
    <sheet name="บัณฑิตศึกษา" sheetId="7" state="hidden" r:id="rId11"/>
    <sheet name="บัณฑิตศึกษาตัดปี1" sheetId="23" state="hidden" r:id="rId12"/>
    <sheet name="นักเรียนรร.วิถีธรรม" sheetId="12" state="hidden" r:id="rId13"/>
    <sheet name="นศ.คงอยู่ปกติ" sheetId="18" state="hidden" r:id="rId14"/>
    <sheet name="นศ.คงอยู่พิเศษ" sheetId="19" state="hidden" r:id="rId15"/>
    <sheet name="Sheet1" sheetId="20" state="hidden" r:id="rId16"/>
    <sheet name="รวมทั้งสองภาค" sheetId="24" state="hidden" r:id="rId17"/>
    <sheet name="แผนการรับนักศึกษาพิเศษ (2)" sheetId="35" r:id="rId18"/>
    <sheet name="แผนการรับนักศึกษาพิเศษต่างชาติ" sheetId="37" r:id="rId19"/>
    <sheet name="แผนรับบัณฑิตศึกษา" sheetId="32" r:id="rId20"/>
    <sheet name="แผนรับบัณฑิตศึกษา (2)" sheetId="38" r:id="rId21"/>
    <sheet name="แผนรับบัณฑิตศึกษาต่างชาติ" sheetId="39" r:id="rId22"/>
    <sheet name="นักเรียนวิถีธรรม" sheetId="27" state="hidden" r:id="rId23"/>
    <sheet name="นักเรียนวิถีธรรม (2)" sheetId="29" state="hidden" r:id="rId24"/>
    <sheet name="สรุปส่งจังหวัด5_4_59" sheetId="28" state="hidden" r:id="rId25"/>
  </sheets>
  <definedNames>
    <definedName name="_xlnm.Print_Area" localSheetId="3">กศ.ป.!$A$1:$W$83</definedName>
    <definedName name="_xlnm.Print_Area" localSheetId="6">'กศ.ป. (2)'!$A$1:$X$85</definedName>
    <definedName name="_xlnm.Print_Area" localSheetId="4">กศ.ป.ตัดปี1!$A$1:$W$83</definedName>
    <definedName name="_xlnm.Print_Area" localSheetId="10">บัณฑิตศึกษา!$A$1:$I$48</definedName>
    <definedName name="_xlnm.Print_Area" localSheetId="11">บัณฑิตศึกษาตัดปี1!$A$1:$I$47</definedName>
    <definedName name="_xlnm.Print_Area" localSheetId="1">ปกติ!$A$1:$S$151</definedName>
    <definedName name="_xlnm.Print_Area" localSheetId="5">'ปกติ (2)'!$A$1:$V$137</definedName>
    <definedName name="_xlnm.Print_Area" localSheetId="2">ปกติตัดปี1!$A$1:$R$150</definedName>
    <definedName name="_xlnm.Print_Area" localSheetId="8">แผนการรับนักศึกษาพิเศษ!$A$1:$W$92</definedName>
    <definedName name="_xlnm.Print_Area" localSheetId="17">'แผนการรับนักศึกษาพิเศษ (2)'!$A$1:$AG$120</definedName>
    <definedName name="_xlnm.Print_Area" localSheetId="18">แผนการรับนักศึกษาพิเศษต่างชาติ!$A$1:$AG$120</definedName>
    <definedName name="_xlnm.Print_Area" localSheetId="7">'แผนรับนักศึกษา '!$A$1:$Y$188</definedName>
    <definedName name="_xlnm.Print_Area" localSheetId="9">แผนรับนักศึกษาต่างชาติ!$A$1:$Y$188</definedName>
    <definedName name="_xlnm.Print_Area" localSheetId="19">แผนรับบัณฑิตศึกษา!$A$1:$O$41</definedName>
    <definedName name="_xlnm.Print_Area" localSheetId="20">'แผนรับบัณฑิตศึกษา (2)'!$A$1:$Y$67</definedName>
    <definedName name="_xlnm.Print_Area" localSheetId="21">แผนรับบัณฑิตศึกษาต่างชาติ!$A$1:$Y$67</definedName>
    <definedName name="_xlnm.Print_Area" localSheetId="24">สรุปส่งจังหวัด5_4_59!$A$1:$I$41</definedName>
    <definedName name="_xlnm.Print_Titles" localSheetId="6">'กศ.ป. (2)'!$2:$4</definedName>
    <definedName name="_xlnm.Print_Titles" localSheetId="10">บัณฑิตศึกษา!$3:$4</definedName>
    <definedName name="_xlnm.Print_Titles" localSheetId="1">ปกติ!$3:$4</definedName>
    <definedName name="_xlnm.Print_Titles" localSheetId="5">'ปกติ (2)'!$3:$4</definedName>
    <definedName name="_xlnm.Print_Titles" localSheetId="2">ปกติตัดปี1!$3:$4</definedName>
    <definedName name="_xlnm.Print_Titles" localSheetId="8">แผนการรับนักศึกษาพิเศษ!$1:$5</definedName>
    <definedName name="_xlnm.Print_Titles" localSheetId="17">'แผนการรับนักศึกษาพิเศษ (2)'!$1:$5</definedName>
    <definedName name="_xlnm.Print_Titles" localSheetId="18">แผนการรับนักศึกษาพิเศษต่างชาติ!$1:$5</definedName>
    <definedName name="_xlnm.Print_Titles" localSheetId="7">'แผนรับนักศึกษา '!$1:$4</definedName>
    <definedName name="_xlnm.Print_Titles" localSheetId="9">แผนรับนักศึกษาต่างชาติ!$1:$4</definedName>
    <definedName name="_xlnm.Print_Titles" localSheetId="19">แผนรับบัณฑิตศึกษา!$3:$4</definedName>
    <definedName name="_xlnm.Print_Titles" localSheetId="20">'แผนรับบัณฑิตศึกษา (2)'!$3:$4</definedName>
    <definedName name="_xlnm.Print_Titles" localSheetId="21">แผนรับบัณฑิตศึกษาต่างชาติ!$3:$4</definedName>
  </definedNames>
  <calcPr calcId="152511"/>
</workbook>
</file>

<file path=xl/calcChain.xml><?xml version="1.0" encoding="utf-8"?>
<calcChain xmlns="http://schemas.openxmlformats.org/spreadsheetml/2006/main">
  <c r="E71" i="39"/>
  <c r="D71"/>
  <c r="C71"/>
  <c r="E70"/>
  <c r="D70"/>
  <c r="D72" s="1"/>
  <c r="C70"/>
  <c r="I69"/>
  <c r="G67"/>
  <c r="Y66"/>
  <c r="X66"/>
  <c r="W66"/>
  <c r="W67" s="1"/>
  <c r="V66"/>
  <c r="U66"/>
  <c r="T66"/>
  <c r="S66"/>
  <c r="S67" s="1"/>
  <c r="R66"/>
  <c r="Q66"/>
  <c r="P66"/>
  <c r="G66"/>
  <c r="F66"/>
  <c r="D66"/>
  <c r="C66"/>
  <c r="C69" s="1"/>
  <c r="B66"/>
  <c r="I64"/>
  <c r="Y62"/>
  <c r="X62"/>
  <c r="W62"/>
  <c r="V62"/>
  <c r="U62"/>
  <c r="T62"/>
  <c r="S62"/>
  <c r="R62"/>
  <c r="Q62"/>
  <c r="P62"/>
  <c r="O62"/>
  <c r="N62"/>
  <c r="M62"/>
  <c r="L62"/>
  <c r="K62"/>
  <c r="H62"/>
  <c r="G62"/>
  <c r="F62"/>
  <c r="D62"/>
  <c r="C62"/>
  <c r="B62"/>
  <c r="E55"/>
  <c r="E62" s="1"/>
  <c r="D55"/>
  <c r="C55"/>
  <c r="J62"/>
  <c r="C54"/>
  <c r="H52"/>
  <c r="G52"/>
  <c r="F52"/>
  <c r="E52"/>
  <c r="D52"/>
  <c r="C52"/>
  <c r="I52" s="1"/>
  <c r="I50"/>
  <c r="Y48"/>
  <c r="X48"/>
  <c r="W48"/>
  <c r="V48"/>
  <c r="U48"/>
  <c r="T48"/>
  <c r="S48"/>
  <c r="R48"/>
  <c r="Q48"/>
  <c r="P48"/>
  <c r="O48"/>
  <c r="N48"/>
  <c r="M48"/>
  <c r="L48"/>
  <c r="K48"/>
  <c r="J48"/>
  <c r="H48"/>
  <c r="G48"/>
  <c r="F48"/>
  <c r="E48"/>
  <c r="D48"/>
  <c r="C48"/>
  <c r="B48"/>
  <c r="J42"/>
  <c r="Y40"/>
  <c r="X40"/>
  <c r="W40"/>
  <c r="V40"/>
  <c r="U40"/>
  <c r="T40"/>
  <c r="S40"/>
  <c r="R40"/>
  <c r="Q40"/>
  <c r="P40"/>
  <c r="O40"/>
  <c r="N40"/>
  <c r="M40"/>
  <c r="L40"/>
  <c r="K40"/>
  <c r="J40"/>
  <c r="H40"/>
  <c r="G40"/>
  <c r="F40"/>
  <c r="D40"/>
  <c r="B40"/>
  <c r="E34"/>
  <c r="C34"/>
  <c r="E32"/>
  <c r="E40" s="1"/>
  <c r="E67" s="1"/>
  <c r="C32"/>
  <c r="C40" s="1"/>
  <c r="Y30"/>
  <c r="X30"/>
  <c r="W30"/>
  <c r="V30"/>
  <c r="U30"/>
  <c r="T30"/>
  <c r="S30"/>
  <c r="R30"/>
  <c r="Q30"/>
  <c r="P30"/>
  <c r="O30"/>
  <c r="N30"/>
  <c r="M30"/>
  <c r="L30"/>
  <c r="K30"/>
  <c r="H30"/>
  <c r="G30"/>
  <c r="E30"/>
  <c r="D30"/>
  <c r="B30"/>
  <c r="C24"/>
  <c r="C30" s="1"/>
  <c r="D22"/>
  <c r="C22"/>
  <c r="J30"/>
  <c r="F21"/>
  <c r="F30" s="1"/>
  <c r="Y19"/>
  <c r="Y67" s="1"/>
  <c r="X19"/>
  <c r="X67" s="1"/>
  <c r="W19"/>
  <c r="V19"/>
  <c r="V67" s="1"/>
  <c r="U19"/>
  <c r="U67" s="1"/>
  <c r="T19"/>
  <c r="T67" s="1"/>
  <c r="S19"/>
  <c r="R19"/>
  <c r="R67" s="1"/>
  <c r="Q19"/>
  <c r="Q67" s="1"/>
  <c r="P19"/>
  <c r="P67" s="1"/>
  <c r="O19"/>
  <c r="N19"/>
  <c r="M19"/>
  <c r="M67" s="1"/>
  <c r="L19"/>
  <c r="K19"/>
  <c r="H19"/>
  <c r="H67" s="1"/>
  <c r="G19"/>
  <c r="E19"/>
  <c r="D19"/>
  <c r="D67" s="1"/>
  <c r="C12"/>
  <c r="C11"/>
  <c r="C19" s="1"/>
  <c r="C67" s="1"/>
  <c r="F9"/>
  <c r="F7"/>
  <c r="F19" s="1"/>
  <c r="F67" s="1"/>
  <c r="C7"/>
  <c r="B7"/>
  <c r="Y66" i="38"/>
  <c r="X66"/>
  <c r="W66"/>
  <c r="V66"/>
  <c r="U66"/>
  <c r="Y62"/>
  <c r="X62"/>
  <c r="W62"/>
  <c r="V62"/>
  <c r="U62"/>
  <c r="Y48"/>
  <c r="X48"/>
  <c r="W48"/>
  <c r="V48"/>
  <c r="U48"/>
  <c r="Y40"/>
  <c r="X40"/>
  <c r="W40"/>
  <c r="V40"/>
  <c r="U40"/>
  <c r="Y30"/>
  <c r="X30"/>
  <c r="W30"/>
  <c r="V30"/>
  <c r="U30"/>
  <c r="Y19"/>
  <c r="X19"/>
  <c r="W19"/>
  <c r="V19"/>
  <c r="U19"/>
  <c r="T66"/>
  <c r="S66"/>
  <c r="R66"/>
  <c r="Q66"/>
  <c r="P66"/>
  <c r="T62"/>
  <c r="S62"/>
  <c r="R62"/>
  <c r="Q62"/>
  <c r="P62"/>
  <c r="T48"/>
  <c r="S48"/>
  <c r="R48"/>
  <c r="Q48"/>
  <c r="P48"/>
  <c r="T40"/>
  <c r="S40"/>
  <c r="R40"/>
  <c r="Q40"/>
  <c r="P40"/>
  <c r="T30"/>
  <c r="S30"/>
  <c r="R30"/>
  <c r="Q30"/>
  <c r="P30"/>
  <c r="T19"/>
  <c r="S19"/>
  <c r="R19"/>
  <c r="Q19"/>
  <c r="P19"/>
  <c r="I69"/>
  <c r="O66"/>
  <c r="N66"/>
  <c r="M66"/>
  <c r="L66"/>
  <c r="K66"/>
  <c r="G66"/>
  <c r="F66"/>
  <c r="D66"/>
  <c r="C66"/>
  <c r="B66"/>
  <c r="J65"/>
  <c r="J66" s="1"/>
  <c r="I65"/>
  <c r="I64"/>
  <c r="O62"/>
  <c r="N62"/>
  <c r="M62"/>
  <c r="L62"/>
  <c r="K62"/>
  <c r="H62"/>
  <c r="G62"/>
  <c r="F62"/>
  <c r="B62"/>
  <c r="J55"/>
  <c r="E55"/>
  <c r="E62" s="1"/>
  <c r="D55"/>
  <c r="D62" s="1"/>
  <c r="C55"/>
  <c r="I55" s="1"/>
  <c r="J54"/>
  <c r="J62" s="1"/>
  <c r="C54"/>
  <c r="I54" s="1"/>
  <c r="H52"/>
  <c r="G52"/>
  <c r="F52"/>
  <c r="E52"/>
  <c r="D52"/>
  <c r="C52"/>
  <c r="I52" s="1"/>
  <c r="I50"/>
  <c r="O48"/>
  <c r="N48"/>
  <c r="M48"/>
  <c r="L48"/>
  <c r="K48"/>
  <c r="I48"/>
  <c r="H48"/>
  <c r="G48"/>
  <c r="F48"/>
  <c r="E48"/>
  <c r="D48"/>
  <c r="C48"/>
  <c r="B48"/>
  <c r="J42"/>
  <c r="J48" s="1"/>
  <c r="I42"/>
  <c r="O40"/>
  <c r="N40"/>
  <c r="M40"/>
  <c r="L40"/>
  <c r="K40"/>
  <c r="H40"/>
  <c r="G40"/>
  <c r="F40"/>
  <c r="D40"/>
  <c r="B40"/>
  <c r="J34"/>
  <c r="E34"/>
  <c r="I34" s="1"/>
  <c r="C34"/>
  <c r="J33"/>
  <c r="I33"/>
  <c r="J32"/>
  <c r="E32"/>
  <c r="C32"/>
  <c r="I32" s="1"/>
  <c r="O30"/>
  <c r="N30"/>
  <c r="M30"/>
  <c r="L30"/>
  <c r="K30"/>
  <c r="H30"/>
  <c r="G30"/>
  <c r="E30"/>
  <c r="B30"/>
  <c r="J24"/>
  <c r="C24"/>
  <c r="I24" s="1"/>
  <c r="J23"/>
  <c r="I23"/>
  <c r="D71"/>
  <c r="J22"/>
  <c r="I22"/>
  <c r="D22"/>
  <c r="D30" s="1"/>
  <c r="C22"/>
  <c r="J21"/>
  <c r="I21"/>
  <c r="F21"/>
  <c r="F30" s="1"/>
  <c r="O19"/>
  <c r="N19"/>
  <c r="M19"/>
  <c r="M67" s="1"/>
  <c r="L19"/>
  <c r="K19"/>
  <c r="H19"/>
  <c r="G19"/>
  <c r="E19"/>
  <c r="D19"/>
  <c r="J12"/>
  <c r="I12"/>
  <c r="C12"/>
  <c r="J11"/>
  <c r="C11"/>
  <c r="I11" s="1"/>
  <c r="J10"/>
  <c r="I10"/>
  <c r="J9"/>
  <c r="F9"/>
  <c r="I9" s="1"/>
  <c r="J8"/>
  <c r="I8"/>
  <c r="F7"/>
  <c r="C7"/>
  <c r="C19" s="1"/>
  <c r="B7"/>
  <c r="D140" i="37"/>
  <c r="C140"/>
  <c r="E140" s="1"/>
  <c r="C132"/>
  <c r="C131"/>
  <c r="C129"/>
  <c r="J122"/>
  <c r="AG120"/>
  <c r="AF120"/>
  <c r="AE120"/>
  <c r="AD120"/>
  <c r="AC120"/>
  <c r="AB120"/>
  <c r="AA120"/>
  <c r="Z120"/>
  <c r="Y120"/>
  <c r="X120"/>
  <c r="W120"/>
  <c r="V120"/>
  <c r="U120"/>
  <c r="T120"/>
  <c r="S120"/>
  <c r="O120"/>
  <c r="N120"/>
  <c r="M120"/>
  <c r="L120"/>
  <c r="K120"/>
  <c r="I120"/>
  <c r="H120"/>
  <c r="G120"/>
  <c r="F120"/>
  <c r="E120"/>
  <c r="D120"/>
  <c r="C120"/>
  <c r="B120"/>
  <c r="P114"/>
  <c r="J113"/>
  <c r="P113" s="1"/>
  <c r="R120"/>
  <c r="P94"/>
  <c r="AG93"/>
  <c r="AF93"/>
  <c r="AE93"/>
  <c r="AD93"/>
  <c r="AC93"/>
  <c r="AB93"/>
  <c r="AA93"/>
  <c r="Z93"/>
  <c r="Y93"/>
  <c r="X93"/>
  <c r="W93"/>
  <c r="V93"/>
  <c r="U93"/>
  <c r="T93"/>
  <c r="S93"/>
  <c r="Q93"/>
  <c r="O93"/>
  <c r="N93"/>
  <c r="M93"/>
  <c r="L93"/>
  <c r="K93"/>
  <c r="I93"/>
  <c r="H93"/>
  <c r="G93"/>
  <c r="E93"/>
  <c r="D93"/>
  <c r="C93"/>
  <c r="B93"/>
  <c r="R93"/>
  <c r="F78"/>
  <c r="F93" s="1"/>
  <c r="P77"/>
  <c r="P76"/>
  <c r="AG75"/>
  <c r="AF75"/>
  <c r="AE75"/>
  <c r="AD75"/>
  <c r="AC75"/>
  <c r="AB75"/>
  <c r="AA75"/>
  <c r="Z75"/>
  <c r="Y75"/>
  <c r="X75"/>
  <c r="W75"/>
  <c r="V75"/>
  <c r="U75"/>
  <c r="T75"/>
  <c r="S75"/>
  <c r="O75"/>
  <c r="N75"/>
  <c r="M75"/>
  <c r="L75"/>
  <c r="K75"/>
  <c r="I75"/>
  <c r="H75"/>
  <c r="G75"/>
  <c r="F75"/>
  <c r="E75"/>
  <c r="D75"/>
  <c r="C75"/>
  <c r="B75"/>
  <c r="R75"/>
  <c r="J75"/>
  <c r="P75" s="1"/>
  <c r="P64"/>
  <c r="AG63"/>
  <c r="AF63"/>
  <c r="AE63"/>
  <c r="AD63"/>
  <c r="AC63"/>
  <c r="AB63"/>
  <c r="AA63"/>
  <c r="Z63"/>
  <c r="Y63"/>
  <c r="X63"/>
  <c r="W63"/>
  <c r="V63"/>
  <c r="U63"/>
  <c r="T63"/>
  <c r="S63"/>
  <c r="R63"/>
  <c r="O63"/>
  <c r="N63"/>
  <c r="M63"/>
  <c r="L63"/>
  <c r="K63"/>
  <c r="I63"/>
  <c r="H63"/>
  <c r="H121" s="1"/>
  <c r="G63"/>
  <c r="F63"/>
  <c r="E63"/>
  <c r="D63"/>
  <c r="D121" s="1"/>
  <c r="C63"/>
  <c r="B63"/>
  <c r="J57"/>
  <c r="P57" s="1"/>
  <c r="R56"/>
  <c r="P56"/>
  <c r="J63"/>
  <c r="P63" s="1"/>
  <c r="P55"/>
  <c r="AG54"/>
  <c r="AF54"/>
  <c r="AE54"/>
  <c r="AD54"/>
  <c r="AC54"/>
  <c r="AB54"/>
  <c r="AA54"/>
  <c r="Z54"/>
  <c r="Y54"/>
  <c r="X54"/>
  <c r="W54"/>
  <c r="V54"/>
  <c r="U54"/>
  <c r="T54"/>
  <c r="S54"/>
  <c r="Q54"/>
  <c r="O54"/>
  <c r="N54"/>
  <c r="M54"/>
  <c r="L54"/>
  <c r="L121" s="1"/>
  <c r="K54"/>
  <c r="I54"/>
  <c r="H54"/>
  <c r="G54"/>
  <c r="C128" s="1"/>
  <c r="F54"/>
  <c r="E54"/>
  <c r="D54"/>
  <c r="C54"/>
  <c r="B54"/>
  <c r="R54"/>
  <c r="Q26"/>
  <c r="AG25"/>
  <c r="AF25"/>
  <c r="AE25"/>
  <c r="AD25"/>
  <c r="AC25"/>
  <c r="AB25"/>
  <c r="AA25"/>
  <c r="Z25"/>
  <c r="Y25"/>
  <c r="X25"/>
  <c r="W25"/>
  <c r="V25"/>
  <c r="U25"/>
  <c r="T25"/>
  <c r="S25"/>
  <c r="Q25"/>
  <c r="O25"/>
  <c r="N25"/>
  <c r="M25"/>
  <c r="L25"/>
  <c r="K25"/>
  <c r="I25"/>
  <c r="I121" s="1"/>
  <c r="H25"/>
  <c r="G25"/>
  <c r="C127" s="1"/>
  <c r="C133" s="1"/>
  <c r="F25"/>
  <c r="E25"/>
  <c r="E121" s="1"/>
  <c r="D25"/>
  <c r="C25"/>
  <c r="C121" s="1"/>
  <c r="B25"/>
  <c r="B121" s="1"/>
  <c r="B122" s="1"/>
  <c r="P19"/>
  <c r="P18"/>
  <c r="P17"/>
  <c r="P16"/>
  <c r="R15"/>
  <c r="J15"/>
  <c r="P15" s="1"/>
  <c r="R14"/>
  <c r="J14"/>
  <c r="P14" s="1"/>
  <c r="R13"/>
  <c r="J13"/>
  <c r="P13" s="1"/>
  <c r="R12"/>
  <c r="P12"/>
  <c r="J12"/>
  <c r="R11"/>
  <c r="J11"/>
  <c r="P11" s="1"/>
  <c r="R10"/>
  <c r="J10"/>
  <c r="P10" s="1"/>
  <c r="R9"/>
  <c r="J9"/>
  <c r="P9" s="1"/>
  <c r="R8"/>
  <c r="P8"/>
  <c r="J8"/>
  <c r="R7"/>
  <c r="R25" s="1"/>
  <c r="J7"/>
  <c r="P7" s="1"/>
  <c r="AG25" i="35"/>
  <c r="AF25"/>
  <c r="AE25"/>
  <c r="AD25"/>
  <c r="AC25"/>
  <c r="AB25"/>
  <c r="AA25"/>
  <c r="Z25"/>
  <c r="Y25"/>
  <c r="X25"/>
  <c r="W25"/>
  <c r="V25"/>
  <c r="U25"/>
  <c r="T25"/>
  <c r="S25"/>
  <c r="AG54"/>
  <c r="AF54"/>
  <c r="AE54"/>
  <c r="AD54"/>
  <c r="AC54"/>
  <c r="AB54"/>
  <c r="AA54"/>
  <c r="Z54"/>
  <c r="Y54"/>
  <c r="X54"/>
  <c r="AG63"/>
  <c r="AF63"/>
  <c r="AE63"/>
  <c r="AD63"/>
  <c r="AC63"/>
  <c r="AB63"/>
  <c r="AA63"/>
  <c r="Z63"/>
  <c r="Y63"/>
  <c r="X63"/>
  <c r="W63"/>
  <c r="V63"/>
  <c r="U63"/>
  <c r="T63"/>
  <c r="S63"/>
  <c r="AG75"/>
  <c r="AF75"/>
  <c r="AE75"/>
  <c r="AD75"/>
  <c r="AC75"/>
  <c r="AB75"/>
  <c r="AA75"/>
  <c r="Z75"/>
  <c r="Y75"/>
  <c r="X75"/>
  <c r="AG93"/>
  <c r="AF93"/>
  <c r="AE93"/>
  <c r="AD93"/>
  <c r="AC93"/>
  <c r="AB93"/>
  <c r="AA93"/>
  <c r="Z93"/>
  <c r="Y93"/>
  <c r="X93"/>
  <c r="AG120"/>
  <c r="AF120"/>
  <c r="AE120"/>
  <c r="AD120"/>
  <c r="AC120"/>
  <c r="AB120"/>
  <c r="AA120"/>
  <c r="Z120"/>
  <c r="Y120"/>
  <c r="X120"/>
  <c r="C140"/>
  <c r="C132"/>
  <c r="C131"/>
  <c r="C129"/>
  <c r="W120"/>
  <c r="V120"/>
  <c r="U120"/>
  <c r="T120"/>
  <c r="S120"/>
  <c r="O120"/>
  <c r="N120"/>
  <c r="M120"/>
  <c r="L120"/>
  <c r="K120"/>
  <c r="I120"/>
  <c r="H120"/>
  <c r="G120"/>
  <c r="F120"/>
  <c r="E120"/>
  <c r="D120"/>
  <c r="C120"/>
  <c r="B120"/>
  <c r="P114"/>
  <c r="J113"/>
  <c r="P113" s="1"/>
  <c r="R112"/>
  <c r="J112"/>
  <c r="P112" s="1"/>
  <c r="R111"/>
  <c r="J111"/>
  <c r="P111" s="1"/>
  <c r="R110"/>
  <c r="J110"/>
  <c r="P110" s="1"/>
  <c r="R109"/>
  <c r="J109"/>
  <c r="P109" s="1"/>
  <c r="R108"/>
  <c r="J108"/>
  <c r="P108" s="1"/>
  <c r="R107"/>
  <c r="J107"/>
  <c r="P107" s="1"/>
  <c r="R106"/>
  <c r="J106"/>
  <c r="P106" s="1"/>
  <c r="R105"/>
  <c r="J105"/>
  <c r="P105" s="1"/>
  <c r="R104"/>
  <c r="J104"/>
  <c r="P104" s="1"/>
  <c r="R103"/>
  <c r="J103"/>
  <c r="P103" s="1"/>
  <c r="R102"/>
  <c r="J102"/>
  <c r="P102" s="1"/>
  <c r="R101"/>
  <c r="J101"/>
  <c r="P101" s="1"/>
  <c r="R100"/>
  <c r="P100"/>
  <c r="J100"/>
  <c r="R99"/>
  <c r="J99"/>
  <c r="P99" s="1"/>
  <c r="R98"/>
  <c r="J98"/>
  <c r="P98" s="1"/>
  <c r="R97"/>
  <c r="P97"/>
  <c r="R96"/>
  <c r="P96"/>
  <c r="R95"/>
  <c r="P95"/>
  <c r="J95"/>
  <c r="P94"/>
  <c r="W93"/>
  <c r="V93"/>
  <c r="U93"/>
  <c r="T93"/>
  <c r="S93"/>
  <c r="Q93"/>
  <c r="O93"/>
  <c r="N93"/>
  <c r="M93"/>
  <c r="L93"/>
  <c r="K93"/>
  <c r="I93"/>
  <c r="H93"/>
  <c r="G93"/>
  <c r="E93"/>
  <c r="D93"/>
  <c r="C93"/>
  <c r="B93"/>
  <c r="R88"/>
  <c r="J88"/>
  <c r="R87"/>
  <c r="P87"/>
  <c r="J87"/>
  <c r="R86"/>
  <c r="J86"/>
  <c r="P86" s="1"/>
  <c r="R85"/>
  <c r="P85"/>
  <c r="J85"/>
  <c r="R84"/>
  <c r="J84"/>
  <c r="P84" s="1"/>
  <c r="R83"/>
  <c r="J83"/>
  <c r="P83" s="1"/>
  <c r="R82"/>
  <c r="J82"/>
  <c r="P82" s="1"/>
  <c r="R81"/>
  <c r="J81"/>
  <c r="P81" s="1"/>
  <c r="R80"/>
  <c r="J80"/>
  <c r="P80" s="1"/>
  <c r="R79"/>
  <c r="P79"/>
  <c r="R78"/>
  <c r="F78"/>
  <c r="F93" s="1"/>
  <c r="P77"/>
  <c r="P76"/>
  <c r="W75"/>
  <c r="V75"/>
  <c r="U75"/>
  <c r="T75"/>
  <c r="S75"/>
  <c r="O75"/>
  <c r="N75"/>
  <c r="M75"/>
  <c r="L75"/>
  <c r="K75"/>
  <c r="J75"/>
  <c r="P75" s="1"/>
  <c r="I75"/>
  <c r="H75"/>
  <c r="G75"/>
  <c r="F75"/>
  <c r="E75"/>
  <c r="D75"/>
  <c r="C75"/>
  <c r="B75"/>
  <c r="R65"/>
  <c r="R75" s="1"/>
  <c r="J65"/>
  <c r="P65" s="1"/>
  <c r="P64"/>
  <c r="O63"/>
  <c r="N63"/>
  <c r="M63"/>
  <c r="L63"/>
  <c r="K63"/>
  <c r="I63"/>
  <c r="H63"/>
  <c r="G63"/>
  <c r="F63"/>
  <c r="E63"/>
  <c r="D63"/>
  <c r="C63"/>
  <c r="B63"/>
  <c r="J57"/>
  <c r="P57" s="1"/>
  <c r="R56"/>
  <c r="R63" s="1"/>
  <c r="J56"/>
  <c r="P56" s="1"/>
  <c r="P55"/>
  <c r="W54"/>
  <c r="V54"/>
  <c r="U54"/>
  <c r="T54"/>
  <c r="S54"/>
  <c r="Q54"/>
  <c r="O54"/>
  <c r="N54"/>
  <c r="M54"/>
  <c r="L54"/>
  <c r="K54"/>
  <c r="I54"/>
  <c r="H54"/>
  <c r="G54"/>
  <c r="F54"/>
  <c r="E54"/>
  <c r="D54"/>
  <c r="C54"/>
  <c r="B54"/>
  <c r="R45"/>
  <c r="J45"/>
  <c r="P45" s="1"/>
  <c r="R44"/>
  <c r="J44"/>
  <c r="P44" s="1"/>
  <c r="R43"/>
  <c r="J43"/>
  <c r="P43" s="1"/>
  <c r="R41"/>
  <c r="J41"/>
  <c r="P41" s="1"/>
  <c r="R40"/>
  <c r="J40"/>
  <c r="P40" s="1"/>
  <c r="R39"/>
  <c r="J39"/>
  <c r="P39" s="1"/>
  <c r="R37"/>
  <c r="J37"/>
  <c r="R36"/>
  <c r="J36"/>
  <c r="P36" s="1"/>
  <c r="R35"/>
  <c r="J35"/>
  <c r="P35" s="1"/>
  <c r="R34"/>
  <c r="J34"/>
  <c r="P34" s="1"/>
  <c r="R33"/>
  <c r="J33"/>
  <c r="P33" s="1"/>
  <c r="R32"/>
  <c r="J32"/>
  <c r="P32" s="1"/>
  <c r="R31"/>
  <c r="J31"/>
  <c r="R30"/>
  <c r="J30"/>
  <c r="R29"/>
  <c r="J29"/>
  <c r="R28"/>
  <c r="J28"/>
  <c r="P28" s="1"/>
  <c r="R27"/>
  <c r="J27"/>
  <c r="P27" s="1"/>
  <c r="Q26"/>
  <c r="Q25"/>
  <c r="O25"/>
  <c r="N25"/>
  <c r="M25"/>
  <c r="L25"/>
  <c r="K25"/>
  <c r="I25"/>
  <c r="H25"/>
  <c r="H121" s="1"/>
  <c r="G25"/>
  <c r="F25"/>
  <c r="E25"/>
  <c r="D25"/>
  <c r="D121" s="1"/>
  <c r="C25"/>
  <c r="C121" s="1"/>
  <c r="B25"/>
  <c r="P19"/>
  <c r="P18"/>
  <c r="P17"/>
  <c r="P16"/>
  <c r="R15"/>
  <c r="J15"/>
  <c r="P15" s="1"/>
  <c r="R14"/>
  <c r="J14"/>
  <c r="P14" s="1"/>
  <c r="R13"/>
  <c r="J13"/>
  <c r="P13" s="1"/>
  <c r="R12"/>
  <c r="J12"/>
  <c r="P12" s="1"/>
  <c r="R11"/>
  <c r="J11"/>
  <c r="P11" s="1"/>
  <c r="R10"/>
  <c r="J10"/>
  <c r="P10" s="1"/>
  <c r="R9"/>
  <c r="J9"/>
  <c r="P9" s="1"/>
  <c r="R8"/>
  <c r="J8"/>
  <c r="P8" s="1"/>
  <c r="R7"/>
  <c r="J7"/>
  <c r="P7" s="1"/>
  <c r="E216" i="34"/>
  <c r="I201"/>
  <c r="H200"/>
  <c r="H201" s="1"/>
  <c r="G200"/>
  <c r="G201" s="1"/>
  <c r="F200"/>
  <c r="F201" s="1"/>
  <c r="E200"/>
  <c r="E201" s="1"/>
  <c r="E199"/>
  <c r="H197"/>
  <c r="G197"/>
  <c r="G164" s="1"/>
  <c r="F197"/>
  <c r="E197"/>
  <c r="D197"/>
  <c r="C197"/>
  <c r="C164" s="1"/>
  <c r="B197"/>
  <c r="I195"/>
  <c r="I197" s="1"/>
  <c r="E211" s="1"/>
  <c r="H193"/>
  <c r="G193"/>
  <c r="F193"/>
  <c r="E193"/>
  <c r="D193"/>
  <c r="C193"/>
  <c r="B193"/>
  <c r="I192"/>
  <c r="I191"/>
  <c r="I190"/>
  <c r="I189"/>
  <c r="I193" s="1"/>
  <c r="E210" s="1"/>
  <c r="Y188"/>
  <c r="X188"/>
  <c r="W188"/>
  <c r="V188"/>
  <c r="U188"/>
  <c r="T188"/>
  <c r="S188"/>
  <c r="R188"/>
  <c r="Q188"/>
  <c r="P188"/>
  <c r="O188"/>
  <c r="N188"/>
  <c r="N164" s="1"/>
  <c r="M188"/>
  <c r="L188"/>
  <c r="L164" s="1"/>
  <c r="K188"/>
  <c r="J188"/>
  <c r="J164" s="1"/>
  <c r="H188"/>
  <c r="G188"/>
  <c r="F188"/>
  <c r="D188"/>
  <c r="C188"/>
  <c r="B188"/>
  <c r="E176"/>
  <c r="E175"/>
  <c r="I188"/>
  <c r="I164" s="1"/>
  <c r="Y164"/>
  <c r="X164"/>
  <c r="W164"/>
  <c r="V164"/>
  <c r="U164"/>
  <c r="T164"/>
  <c r="S164"/>
  <c r="R164"/>
  <c r="Q164"/>
  <c r="P164"/>
  <c r="O164"/>
  <c r="M164"/>
  <c r="K164"/>
  <c r="H164"/>
  <c r="F164"/>
  <c r="D164"/>
  <c r="B164"/>
  <c r="Y163"/>
  <c r="X163"/>
  <c r="W163"/>
  <c r="V163"/>
  <c r="U163"/>
  <c r="T163"/>
  <c r="S163"/>
  <c r="R163"/>
  <c r="Q163"/>
  <c r="P163"/>
  <c r="O163"/>
  <c r="N163"/>
  <c r="M163"/>
  <c r="L163"/>
  <c r="K163"/>
  <c r="J163"/>
  <c r="H163"/>
  <c r="G163"/>
  <c r="F163"/>
  <c r="E163"/>
  <c r="D163"/>
  <c r="C163"/>
  <c r="B163"/>
  <c r="I142"/>
  <c r="Y142"/>
  <c r="X142"/>
  <c r="W142"/>
  <c r="V142"/>
  <c r="U142"/>
  <c r="T142"/>
  <c r="S142"/>
  <c r="R142"/>
  <c r="Q142"/>
  <c r="P142"/>
  <c r="O142"/>
  <c r="N142"/>
  <c r="M142"/>
  <c r="L142"/>
  <c r="K142"/>
  <c r="J142"/>
  <c r="H142"/>
  <c r="G142"/>
  <c r="F142"/>
  <c r="E142"/>
  <c r="D142"/>
  <c r="C142"/>
  <c r="B142"/>
  <c r="H130"/>
  <c r="G130"/>
  <c r="F130"/>
  <c r="E130"/>
  <c r="I120"/>
  <c r="I119"/>
  <c r="I118"/>
  <c r="I117"/>
  <c r="J109"/>
  <c r="I109"/>
  <c r="I130" s="1"/>
  <c r="Y108"/>
  <c r="X108"/>
  <c r="W108"/>
  <c r="V108"/>
  <c r="U108"/>
  <c r="T108"/>
  <c r="S108"/>
  <c r="R108"/>
  <c r="Q108"/>
  <c r="P108"/>
  <c r="O108"/>
  <c r="N108"/>
  <c r="M108"/>
  <c r="L108"/>
  <c r="K108"/>
  <c r="J108"/>
  <c r="H108"/>
  <c r="G108"/>
  <c r="F108"/>
  <c r="E108"/>
  <c r="D108"/>
  <c r="C108"/>
  <c r="B108"/>
  <c r="Y107"/>
  <c r="X107"/>
  <c r="X68" s="1"/>
  <c r="W107"/>
  <c r="V107"/>
  <c r="V68" s="1"/>
  <c r="U107"/>
  <c r="T107"/>
  <c r="T68" s="1"/>
  <c r="S107"/>
  <c r="R107"/>
  <c r="R68" s="1"/>
  <c r="Q107"/>
  <c r="P107"/>
  <c r="P68" s="1"/>
  <c r="O107"/>
  <c r="O68" s="1"/>
  <c r="N107"/>
  <c r="M107"/>
  <c r="M68" s="1"/>
  <c r="L107"/>
  <c r="K107"/>
  <c r="J107"/>
  <c r="H107"/>
  <c r="G107"/>
  <c r="F107"/>
  <c r="E107"/>
  <c r="D107"/>
  <c r="C107"/>
  <c r="B107"/>
  <c r="I95"/>
  <c r="I94"/>
  <c r="I93"/>
  <c r="I107" s="1"/>
  <c r="F210" s="1"/>
  <c r="Y92"/>
  <c r="X92"/>
  <c r="W92"/>
  <c r="V92"/>
  <c r="U92"/>
  <c r="T92"/>
  <c r="S92"/>
  <c r="R92"/>
  <c r="Q92"/>
  <c r="P92"/>
  <c r="O92"/>
  <c r="N92"/>
  <c r="M92"/>
  <c r="L92"/>
  <c r="K92"/>
  <c r="H92"/>
  <c r="G92"/>
  <c r="F92"/>
  <c r="E92"/>
  <c r="D92"/>
  <c r="C92"/>
  <c r="B92"/>
  <c r="J70"/>
  <c r="J92" s="1"/>
  <c r="J68" s="1"/>
  <c r="I70"/>
  <c r="I69"/>
  <c r="Y68"/>
  <c r="W68"/>
  <c r="U68"/>
  <c r="S68"/>
  <c r="Q68"/>
  <c r="H68"/>
  <c r="G68"/>
  <c r="F68"/>
  <c r="E68"/>
  <c r="D68"/>
  <c r="C68"/>
  <c r="B68"/>
  <c r="Y67"/>
  <c r="X67"/>
  <c r="W67"/>
  <c r="V67"/>
  <c r="U67"/>
  <c r="T67"/>
  <c r="S67"/>
  <c r="R67"/>
  <c r="Q67"/>
  <c r="P67"/>
  <c r="O67"/>
  <c r="N67"/>
  <c r="M67"/>
  <c r="L67"/>
  <c r="K67"/>
  <c r="I67"/>
  <c r="F212" s="1"/>
  <c r="H67"/>
  <c r="G67"/>
  <c r="F67"/>
  <c r="E67"/>
  <c r="D67"/>
  <c r="C67"/>
  <c r="B67"/>
  <c r="J67"/>
  <c r="O62"/>
  <c r="N62"/>
  <c r="M62"/>
  <c r="L62"/>
  <c r="L37" s="1"/>
  <c r="K62"/>
  <c r="I62"/>
  <c r="F211" s="1"/>
  <c r="H62"/>
  <c r="G62"/>
  <c r="F62"/>
  <c r="E62"/>
  <c r="D62"/>
  <c r="C62"/>
  <c r="B62"/>
  <c r="J62"/>
  <c r="O56"/>
  <c r="N56"/>
  <c r="M56"/>
  <c r="L56"/>
  <c r="K56"/>
  <c r="H56"/>
  <c r="G56"/>
  <c r="F56"/>
  <c r="E56"/>
  <c r="D56"/>
  <c r="C56"/>
  <c r="B56"/>
  <c r="I56"/>
  <c r="J56"/>
  <c r="Y37"/>
  <c r="X37"/>
  <c r="W37"/>
  <c r="V37"/>
  <c r="U37"/>
  <c r="T37"/>
  <c r="S37"/>
  <c r="R37"/>
  <c r="Q37"/>
  <c r="P37"/>
  <c r="O37"/>
  <c r="N37"/>
  <c r="K37"/>
  <c r="H37"/>
  <c r="G37"/>
  <c r="F37"/>
  <c r="E37"/>
  <c r="D37"/>
  <c r="C37"/>
  <c r="B37"/>
  <c r="Y36"/>
  <c r="Y5" s="1"/>
  <c r="X36"/>
  <c r="W36"/>
  <c r="W5" s="1"/>
  <c r="V36"/>
  <c r="U36"/>
  <c r="U5" s="1"/>
  <c r="T36"/>
  <c r="S36"/>
  <c r="S5" s="1"/>
  <c r="R36"/>
  <c r="Q36"/>
  <c r="Q5" s="1"/>
  <c r="P36"/>
  <c r="O36"/>
  <c r="N36"/>
  <c r="M36"/>
  <c r="L36"/>
  <c r="K36"/>
  <c r="I36"/>
  <c r="E212" s="1"/>
  <c r="H36"/>
  <c r="G36"/>
  <c r="F36"/>
  <c r="E36"/>
  <c r="E205" s="1"/>
  <c r="D36"/>
  <c r="C36"/>
  <c r="C5" s="1"/>
  <c r="C198" s="1"/>
  <c r="B36"/>
  <c r="J33"/>
  <c r="I33"/>
  <c r="J36"/>
  <c r="J5" s="1"/>
  <c r="I28"/>
  <c r="H28"/>
  <c r="H204" s="1"/>
  <c r="G28"/>
  <c r="G5" s="1"/>
  <c r="G198" s="1"/>
  <c r="F28"/>
  <c r="F204" s="1"/>
  <c r="E28"/>
  <c r="E5" s="1"/>
  <c r="E198" s="1"/>
  <c r="E203" s="1"/>
  <c r="Y25"/>
  <c r="X25"/>
  <c r="W25"/>
  <c r="V25"/>
  <c r="U25"/>
  <c r="T25"/>
  <c r="S25"/>
  <c r="R25"/>
  <c r="Q25"/>
  <c r="P25"/>
  <c r="O25"/>
  <c r="N25"/>
  <c r="M25"/>
  <c r="L25"/>
  <c r="L5" s="1"/>
  <c r="K25"/>
  <c r="J25"/>
  <c r="H25"/>
  <c r="G25"/>
  <c r="F25"/>
  <c r="E25"/>
  <c r="D25"/>
  <c r="C25"/>
  <c r="B25"/>
  <c r="I25"/>
  <c r="X5"/>
  <c r="V5"/>
  <c r="T5"/>
  <c r="R5"/>
  <c r="P5"/>
  <c r="N5"/>
  <c r="H5"/>
  <c r="H198" s="1"/>
  <c r="F5"/>
  <c r="F198" s="1"/>
  <c r="D5"/>
  <c r="D198" s="1"/>
  <c r="B5"/>
  <c r="B198" s="1"/>
  <c r="Y25" i="33"/>
  <c r="X25"/>
  <c r="W25"/>
  <c r="V25"/>
  <c r="U25"/>
  <c r="T25"/>
  <c r="S25"/>
  <c r="R25"/>
  <c r="Q25"/>
  <c r="P25"/>
  <c r="Y188"/>
  <c r="Y164" s="1"/>
  <c r="X188"/>
  <c r="W188"/>
  <c r="V188"/>
  <c r="V164" s="1"/>
  <c r="U188"/>
  <c r="U164" s="1"/>
  <c r="T188"/>
  <c r="S188"/>
  <c r="R188"/>
  <c r="R164" s="1"/>
  <c r="Q188"/>
  <c r="Q164" s="1"/>
  <c r="P188"/>
  <c r="X164"/>
  <c r="W164"/>
  <c r="T164"/>
  <c r="S164"/>
  <c r="P164"/>
  <c r="O164"/>
  <c r="N164"/>
  <c r="M164"/>
  <c r="L164"/>
  <c r="K164"/>
  <c r="Y163"/>
  <c r="X163"/>
  <c r="W163"/>
  <c r="V163"/>
  <c r="U163"/>
  <c r="T163"/>
  <c r="S163"/>
  <c r="R163"/>
  <c r="Q163"/>
  <c r="P163"/>
  <c r="Y142"/>
  <c r="X142"/>
  <c r="W142"/>
  <c r="V142"/>
  <c r="U142"/>
  <c r="T142"/>
  <c r="S142"/>
  <c r="R142"/>
  <c r="Q142"/>
  <c r="P142"/>
  <c r="Y107"/>
  <c r="X107"/>
  <c r="W107"/>
  <c r="V107"/>
  <c r="U107"/>
  <c r="T107"/>
  <c r="S107"/>
  <c r="R107"/>
  <c r="Q107"/>
  <c r="P107"/>
  <c r="O107"/>
  <c r="N107"/>
  <c r="M107"/>
  <c r="L107"/>
  <c r="K107"/>
  <c r="J107"/>
  <c r="Y108"/>
  <c r="X108"/>
  <c r="W108"/>
  <c r="V108"/>
  <c r="U108"/>
  <c r="T108"/>
  <c r="S108"/>
  <c r="R108"/>
  <c r="Q108"/>
  <c r="P108"/>
  <c r="Y67"/>
  <c r="X67"/>
  <c r="X37" s="1"/>
  <c r="W67"/>
  <c r="W37" s="1"/>
  <c r="V67"/>
  <c r="U67"/>
  <c r="U37" s="1"/>
  <c r="T67"/>
  <c r="T37" s="1"/>
  <c r="S67"/>
  <c r="S37" s="1"/>
  <c r="R67"/>
  <c r="Q67"/>
  <c r="P67"/>
  <c r="P37" s="1"/>
  <c r="Y92"/>
  <c r="Y68" s="1"/>
  <c r="X92"/>
  <c r="W92"/>
  <c r="W68" s="1"/>
  <c r="V92"/>
  <c r="V68" s="1"/>
  <c r="U92"/>
  <c r="U68" s="1"/>
  <c r="T92"/>
  <c r="S92"/>
  <c r="S68" s="1"/>
  <c r="R92"/>
  <c r="R68" s="1"/>
  <c r="Q92"/>
  <c r="P92"/>
  <c r="Y37"/>
  <c r="V37"/>
  <c r="R37"/>
  <c r="Q37"/>
  <c r="Y36"/>
  <c r="Y5" s="1"/>
  <c r="X36"/>
  <c r="X5" s="1"/>
  <c r="W36"/>
  <c r="V36"/>
  <c r="U36"/>
  <c r="U5" s="1"/>
  <c r="T36"/>
  <c r="S36"/>
  <c r="S5" s="1"/>
  <c r="R36"/>
  <c r="R5" s="1"/>
  <c r="Q36"/>
  <c r="Q5" s="1"/>
  <c r="P36"/>
  <c r="P5" s="1"/>
  <c r="W5"/>
  <c r="V5"/>
  <c r="N67" i="39" l="1"/>
  <c r="K67"/>
  <c r="O67"/>
  <c r="L67"/>
  <c r="E69"/>
  <c r="E72" s="1"/>
  <c r="C72"/>
  <c r="B19"/>
  <c r="J19"/>
  <c r="J67" s="1"/>
  <c r="W67" i="38"/>
  <c r="F19"/>
  <c r="F67" s="1"/>
  <c r="H67"/>
  <c r="N67"/>
  <c r="J30"/>
  <c r="G67"/>
  <c r="E40"/>
  <c r="C40"/>
  <c r="I40" s="1"/>
  <c r="J40"/>
  <c r="I66"/>
  <c r="I7"/>
  <c r="L67"/>
  <c r="K67"/>
  <c r="O67"/>
  <c r="S67"/>
  <c r="V67"/>
  <c r="R67"/>
  <c r="U67"/>
  <c r="Y67"/>
  <c r="X67"/>
  <c r="Q67"/>
  <c r="P67"/>
  <c r="T67"/>
  <c r="E67"/>
  <c r="D67"/>
  <c r="C69"/>
  <c r="J7"/>
  <c r="J19" s="1"/>
  <c r="J67" s="1"/>
  <c r="B19"/>
  <c r="C62"/>
  <c r="I62" s="1"/>
  <c r="C30"/>
  <c r="I30" s="1"/>
  <c r="M121" i="37"/>
  <c r="N121"/>
  <c r="K121"/>
  <c r="O121"/>
  <c r="F121"/>
  <c r="J54"/>
  <c r="P54" s="1"/>
  <c r="J25"/>
  <c r="J120"/>
  <c r="P120" s="1"/>
  <c r="G121"/>
  <c r="R25" i="35"/>
  <c r="N121"/>
  <c r="J63"/>
  <c r="P63" s="1"/>
  <c r="E121"/>
  <c r="I121"/>
  <c r="B121"/>
  <c r="B122" s="1"/>
  <c r="F121"/>
  <c r="K121"/>
  <c r="O121"/>
  <c r="R54"/>
  <c r="J54"/>
  <c r="P54" s="1"/>
  <c r="C128"/>
  <c r="J78"/>
  <c r="J93" s="1"/>
  <c r="P93" s="1"/>
  <c r="G121"/>
  <c r="L121"/>
  <c r="R93"/>
  <c r="J120"/>
  <c r="R120"/>
  <c r="M121"/>
  <c r="C127"/>
  <c r="P120"/>
  <c r="D140"/>
  <c r="E140" s="1"/>
  <c r="C133"/>
  <c r="P29"/>
  <c r="P88"/>
  <c r="J25"/>
  <c r="K68" i="34"/>
  <c r="L68"/>
  <c r="N68"/>
  <c r="M37"/>
  <c r="M5"/>
  <c r="K5"/>
  <c r="O5"/>
  <c r="J37"/>
  <c r="I37"/>
  <c r="H211"/>
  <c r="I211" s="1"/>
  <c r="G211"/>
  <c r="H212"/>
  <c r="I212" s="1"/>
  <c r="G212"/>
  <c r="H210"/>
  <c r="G210"/>
  <c r="E208"/>
  <c r="I5"/>
  <c r="G204"/>
  <c r="I163"/>
  <c r="E209" s="1"/>
  <c r="E188"/>
  <c r="E164" s="1"/>
  <c r="E204"/>
  <c r="F209"/>
  <c r="F213" s="1"/>
  <c r="T5" i="33"/>
  <c r="P68"/>
  <c r="T68"/>
  <c r="X68"/>
  <c r="Q68"/>
  <c r="B67" i="39" l="1"/>
  <c r="I67" s="1"/>
  <c r="I70" s="1"/>
  <c r="C67" i="38"/>
  <c r="I19"/>
  <c r="B67"/>
  <c r="E69"/>
  <c r="D70"/>
  <c r="D72" s="1"/>
  <c r="J93" i="37"/>
  <c r="P93" s="1"/>
  <c r="P25"/>
  <c r="P78" i="35"/>
  <c r="P25"/>
  <c r="P121" s="1"/>
  <c r="J121"/>
  <c r="I198" i="34"/>
  <c r="H209"/>
  <c r="G209"/>
  <c r="E213"/>
  <c r="H213" s="1"/>
  <c r="H208"/>
  <c r="G208"/>
  <c r="I67" i="38" l="1"/>
  <c r="I70" s="1"/>
  <c r="C71"/>
  <c r="E71" s="1"/>
  <c r="P121" i="37"/>
  <c r="J121"/>
  <c r="J124" i="35"/>
  <c r="J130"/>
  <c r="G122"/>
  <c r="I208" i="34"/>
  <c r="G122" i="37" l="1"/>
  <c r="J124"/>
  <c r="J130"/>
  <c r="J122" i="35"/>
  <c r="C70" i="38" l="1"/>
  <c r="E70" l="1"/>
  <c r="E72" s="1"/>
  <c r="C72"/>
  <c r="I6" i="33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B25"/>
  <c r="C25"/>
  <c r="D25"/>
  <c r="E25"/>
  <c r="F25"/>
  <c r="G25"/>
  <c r="H25"/>
  <c r="E28"/>
  <c r="F28"/>
  <c r="G28"/>
  <c r="G204" s="1"/>
  <c r="H28"/>
  <c r="I28"/>
  <c r="I30"/>
  <c r="J30"/>
  <c r="I31"/>
  <c r="J31"/>
  <c r="I32"/>
  <c r="J32"/>
  <c r="I33"/>
  <c r="J33"/>
  <c r="B36"/>
  <c r="C36"/>
  <c r="D36"/>
  <c r="E36"/>
  <c r="E205" s="1"/>
  <c r="F36"/>
  <c r="G36"/>
  <c r="H36"/>
  <c r="I38"/>
  <c r="J38"/>
  <c r="I39"/>
  <c r="J39"/>
  <c r="I40"/>
  <c r="J40"/>
  <c r="I41"/>
  <c r="J41"/>
  <c r="I42"/>
  <c r="J42"/>
  <c r="I43"/>
  <c r="I44"/>
  <c r="J44"/>
  <c r="I45"/>
  <c r="I46"/>
  <c r="J46"/>
  <c r="I47"/>
  <c r="J47"/>
  <c r="B56"/>
  <c r="C56"/>
  <c r="D56"/>
  <c r="E56"/>
  <c r="F56"/>
  <c r="G56"/>
  <c r="H56"/>
  <c r="I58"/>
  <c r="J58"/>
  <c r="I59"/>
  <c r="J59"/>
  <c r="B62"/>
  <c r="C62"/>
  <c r="D62"/>
  <c r="E62"/>
  <c r="F62"/>
  <c r="G62"/>
  <c r="H62"/>
  <c r="I64"/>
  <c r="I67" s="1"/>
  <c r="F212" s="1"/>
  <c r="J64"/>
  <c r="J67" s="1"/>
  <c r="B67"/>
  <c r="C67"/>
  <c r="D67"/>
  <c r="E67"/>
  <c r="F67"/>
  <c r="G67"/>
  <c r="H67"/>
  <c r="B68"/>
  <c r="C68"/>
  <c r="D68"/>
  <c r="E68"/>
  <c r="F68"/>
  <c r="G68"/>
  <c r="H68"/>
  <c r="I69"/>
  <c r="I70"/>
  <c r="J70"/>
  <c r="I71"/>
  <c r="J71"/>
  <c r="I72"/>
  <c r="J72"/>
  <c r="I73"/>
  <c r="J73"/>
  <c r="I74"/>
  <c r="J74"/>
  <c r="I75"/>
  <c r="J75"/>
  <c r="I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B92"/>
  <c r="C92"/>
  <c r="D92"/>
  <c r="E92"/>
  <c r="F92"/>
  <c r="G92"/>
  <c r="H92"/>
  <c r="I93"/>
  <c r="I94"/>
  <c r="I95"/>
  <c r="I96"/>
  <c r="I97"/>
  <c r="B107"/>
  <c r="C107"/>
  <c r="D107"/>
  <c r="E107"/>
  <c r="F107"/>
  <c r="G107"/>
  <c r="H107"/>
  <c r="B108"/>
  <c r="C108"/>
  <c r="D108"/>
  <c r="E108"/>
  <c r="F108"/>
  <c r="G108"/>
  <c r="H108"/>
  <c r="I109"/>
  <c r="J109"/>
  <c r="I117"/>
  <c r="I118"/>
  <c r="I119"/>
  <c r="I120"/>
  <c r="I121"/>
  <c r="J121"/>
  <c r="I122"/>
  <c r="J122"/>
  <c r="I123"/>
  <c r="J123"/>
  <c r="I124"/>
  <c r="J124"/>
  <c r="I125"/>
  <c r="J125"/>
  <c r="I126"/>
  <c r="I127"/>
  <c r="J127"/>
  <c r="E130"/>
  <c r="F130"/>
  <c r="G130"/>
  <c r="H130"/>
  <c r="B142"/>
  <c r="C142"/>
  <c r="D142"/>
  <c r="E142"/>
  <c r="F142"/>
  <c r="G142"/>
  <c r="H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B163"/>
  <c r="C163"/>
  <c r="D163"/>
  <c r="E163"/>
  <c r="F163"/>
  <c r="G163"/>
  <c r="H163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E175"/>
  <c r="I175" s="1"/>
  <c r="J175"/>
  <c r="E176"/>
  <c r="I176" s="1"/>
  <c r="J176"/>
  <c r="I177"/>
  <c r="J177"/>
  <c r="B188"/>
  <c r="C188"/>
  <c r="D188"/>
  <c r="F188"/>
  <c r="G188"/>
  <c r="H188"/>
  <c r="I189"/>
  <c r="I190"/>
  <c r="I191"/>
  <c r="I192"/>
  <c r="B193"/>
  <c r="C193"/>
  <c r="D193"/>
  <c r="E193"/>
  <c r="F193"/>
  <c r="G193"/>
  <c r="H193"/>
  <c r="I195"/>
  <c r="B197"/>
  <c r="C197"/>
  <c r="D197"/>
  <c r="E197"/>
  <c r="F197"/>
  <c r="G197"/>
  <c r="H197"/>
  <c r="I197"/>
  <c r="E211" s="1"/>
  <c r="E199"/>
  <c r="E200"/>
  <c r="F200"/>
  <c r="F201" s="1"/>
  <c r="G200"/>
  <c r="G201" s="1"/>
  <c r="H200"/>
  <c r="H201" s="1"/>
  <c r="I201"/>
  <c r="E216"/>
  <c r="O188"/>
  <c r="N188"/>
  <c r="M188"/>
  <c r="L188"/>
  <c r="K188"/>
  <c r="O163"/>
  <c r="N163"/>
  <c r="M163"/>
  <c r="L163"/>
  <c r="K163"/>
  <c r="O142"/>
  <c r="N142"/>
  <c r="M142"/>
  <c r="L142"/>
  <c r="K142"/>
  <c r="O108"/>
  <c r="N108"/>
  <c r="M108"/>
  <c r="L108"/>
  <c r="K108"/>
  <c r="O92"/>
  <c r="N92"/>
  <c r="M92"/>
  <c r="L92"/>
  <c r="K92"/>
  <c r="O67"/>
  <c r="N67"/>
  <c r="M67"/>
  <c r="L67"/>
  <c r="K67"/>
  <c r="O62"/>
  <c r="N62"/>
  <c r="M62"/>
  <c r="L62"/>
  <c r="K62"/>
  <c r="O56"/>
  <c r="N56"/>
  <c r="M56"/>
  <c r="L56"/>
  <c r="K56"/>
  <c r="O36"/>
  <c r="N36"/>
  <c r="M36"/>
  <c r="L36"/>
  <c r="K36"/>
  <c r="O25"/>
  <c r="N25"/>
  <c r="M25"/>
  <c r="L25"/>
  <c r="K25"/>
  <c r="I107" l="1"/>
  <c r="F210" s="1"/>
  <c r="H210" s="1"/>
  <c r="E201"/>
  <c r="E188"/>
  <c r="H204"/>
  <c r="E204"/>
  <c r="N68"/>
  <c r="J188"/>
  <c r="J164" s="1"/>
  <c r="I193"/>
  <c r="E210" s="1"/>
  <c r="G210" s="1"/>
  <c r="I62"/>
  <c r="F211" s="1"/>
  <c r="H211" s="1"/>
  <c r="J92"/>
  <c r="J68" s="1"/>
  <c r="J56"/>
  <c r="J36"/>
  <c r="E37"/>
  <c r="J62"/>
  <c r="E164"/>
  <c r="F37"/>
  <c r="B37"/>
  <c r="E5"/>
  <c r="I163"/>
  <c r="N5"/>
  <c r="F164"/>
  <c r="B164"/>
  <c r="H5"/>
  <c r="D5"/>
  <c r="I25"/>
  <c r="G5"/>
  <c r="C5"/>
  <c r="J25"/>
  <c r="L68"/>
  <c r="H164"/>
  <c r="D164"/>
  <c r="J142"/>
  <c r="J108"/>
  <c r="H37"/>
  <c r="D37"/>
  <c r="I56"/>
  <c r="I37" s="1"/>
  <c r="I36"/>
  <c r="E212" s="1"/>
  <c r="H212" s="1"/>
  <c r="I212" s="1"/>
  <c r="F204"/>
  <c r="F5"/>
  <c r="F198" s="1"/>
  <c r="B5"/>
  <c r="B198" s="1"/>
  <c r="I108"/>
  <c r="I92"/>
  <c r="G164"/>
  <c r="C164"/>
  <c r="I142"/>
  <c r="G37"/>
  <c r="C37"/>
  <c r="I188"/>
  <c r="I164" s="1"/>
  <c r="G211"/>
  <c r="M68"/>
  <c r="J163"/>
  <c r="M37"/>
  <c r="I130"/>
  <c r="M5"/>
  <c r="L5"/>
  <c r="K5"/>
  <c r="O5"/>
  <c r="N37"/>
  <c r="K68"/>
  <c r="O68"/>
  <c r="L37"/>
  <c r="K37"/>
  <c r="O37"/>
  <c r="S46" i="31"/>
  <c r="G212" i="33" l="1"/>
  <c r="I68"/>
  <c r="J5"/>
  <c r="J37"/>
  <c r="H198"/>
  <c r="D198"/>
  <c r="E209"/>
  <c r="G209" s="1"/>
  <c r="F209"/>
  <c r="F213" s="1"/>
  <c r="I5"/>
  <c r="E198"/>
  <c r="E203" s="1"/>
  <c r="E208"/>
  <c r="E213" s="1"/>
  <c r="C198"/>
  <c r="G198"/>
  <c r="I211"/>
  <c r="W46" i="31"/>
  <c r="V46"/>
  <c r="U46"/>
  <c r="T46"/>
  <c r="AC37"/>
  <c r="AC30"/>
  <c r="R30"/>
  <c r="J30"/>
  <c r="P30" s="1"/>
  <c r="W92"/>
  <c r="V92"/>
  <c r="U92"/>
  <c r="T92"/>
  <c r="S92"/>
  <c r="W56"/>
  <c r="V56"/>
  <c r="U56"/>
  <c r="T56"/>
  <c r="S56"/>
  <c r="W70"/>
  <c r="V70"/>
  <c r="U70"/>
  <c r="T70"/>
  <c r="S70"/>
  <c r="H208" i="33" l="1"/>
  <c r="I198"/>
  <c r="H209"/>
  <c r="H213"/>
  <c r="G208"/>
  <c r="O41" i="32"/>
  <c r="N41"/>
  <c r="M41"/>
  <c r="L41"/>
  <c r="K41"/>
  <c r="O40"/>
  <c r="N40"/>
  <c r="M40"/>
  <c r="L40"/>
  <c r="K40"/>
  <c r="O36"/>
  <c r="N36"/>
  <c r="M36"/>
  <c r="L36"/>
  <c r="K36"/>
  <c r="O28"/>
  <c r="N28"/>
  <c r="M28"/>
  <c r="L28"/>
  <c r="K28"/>
  <c r="O24"/>
  <c r="N24"/>
  <c r="M24"/>
  <c r="L24"/>
  <c r="K24"/>
  <c r="O19"/>
  <c r="N19"/>
  <c r="M19"/>
  <c r="L19"/>
  <c r="K19"/>
  <c r="O13"/>
  <c r="N13"/>
  <c r="M13"/>
  <c r="L13"/>
  <c r="K13"/>
  <c r="I208" i="33" l="1"/>
  <c r="J41" i="32"/>
  <c r="J40"/>
  <c r="J36"/>
  <c r="J28"/>
  <c r="J24"/>
  <c r="J19"/>
  <c r="J13"/>
  <c r="I13"/>
  <c r="J39"/>
  <c r="J35"/>
  <c r="J34"/>
  <c r="J26"/>
  <c r="J23"/>
  <c r="J22"/>
  <c r="J21"/>
  <c r="J18"/>
  <c r="J17"/>
  <c r="J16"/>
  <c r="J15"/>
  <c r="J12"/>
  <c r="J11"/>
  <c r="J10"/>
  <c r="J9"/>
  <c r="J8"/>
  <c r="J7"/>
  <c r="R50" i="31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69"/>
  <c r="R68"/>
  <c r="R67"/>
  <c r="R66"/>
  <c r="R65"/>
  <c r="R64"/>
  <c r="R63"/>
  <c r="R62"/>
  <c r="R61"/>
  <c r="R60"/>
  <c r="R59"/>
  <c r="R52"/>
  <c r="R56" s="1"/>
  <c r="R48"/>
  <c r="R40"/>
  <c r="R39"/>
  <c r="R38"/>
  <c r="R36"/>
  <c r="R35"/>
  <c r="R34"/>
  <c r="R32"/>
  <c r="R31"/>
  <c r="R29"/>
  <c r="R28"/>
  <c r="R27"/>
  <c r="R26"/>
  <c r="R25"/>
  <c r="R24"/>
  <c r="R23"/>
  <c r="R22"/>
  <c r="R15"/>
  <c r="R14"/>
  <c r="R13"/>
  <c r="R12"/>
  <c r="R11"/>
  <c r="R10"/>
  <c r="R9"/>
  <c r="R8"/>
  <c r="R7"/>
  <c r="R70" l="1"/>
  <c r="R92"/>
  <c r="R46"/>
  <c r="R20"/>
  <c r="I43" i="32"/>
  <c r="G40"/>
  <c r="F40"/>
  <c r="D40"/>
  <c r="C40"/>
  <c r="B40"/>
  <c r="I39"/>
  <c r="I38"/>
  <c r="H36"/>
  <c r="G36"/>
  <c r="F36"/>
  <c r="B36"/>
  <c r="E35"/>
  <c r="E36" s="1"/>
  <c r="D35"/>
  <c r="D36" s="1"/>
  <c r="C35"/>
  <c r="C34"/>
  <c r="C36" s="1"/>
  <c r="T33"/>
  <c r="H32"/>
  <c r="G32"/>
  <c r="F32"/>
  <c r="E32"/>
  <c r="D32"/>
  <c r="C32"/>
  <c r="I30"/>
  <c r="S15" s="1"/>
  <c r="U15" s="1"/>
  <c r="H28"/>
  <c r="G28"/>
  <c r="F28"/>
  <c r="E28"/>
  <c r="D28"/>
  <c r="C28"/>
  <c r="I28" s="1"/>
  <c r="S9" s="1"/>
  <c r="U9" s="1"/>
  <c r="B28"/>
  <c r="U27"/>
  <c r="Q27"/>
  <c r="Q26"/>
  <c r="I26"/>
  <c r="Q25"/>
  <c r="H24"/>
  <c r="G24"/>
  <c r="F24"/>
  <c r="D24"/>
  <c r="B24"/>
  <c r="E23"/>
  <c r="C23"/>
  <c r="I23" s="1"/>
  <c r="I22"/>
  <c r="E21"/>
  <c r="E24" s="1"/>
  <c r="C21"/>
  <c r="I21" s="1"/>
  <c r="S13" s="1"/>
  <c r="H19"/>
  <c r="G19"/>
  <c r="F19"/>
  <c r="E19"/>
  <c r="C19"/>
  <c r="B19"/>
  <c r="I18"/>
  <c r="C18"/>
  <c r="I17"/>
  <c r="R16"/>
  <c r="D16"/>
  <c r="D19" s="1"/>
  <c r="I19" s="1"/>
  <c r="C16"/>
  <c r="I15"/>
  <c r="F15"/>
  <c r="U14"/>
  <c r="T13"/>
  <c r="T16" s="1"/>
  <c r="D45" s="1"/>
  <c r="H13"/>
  <c r="G13"/>
  <c r="G41" s="1"/>
  <c r="E13"/>
  <c r="E41" s="1"/>
  <c r="D13"/>
  <c r="I12"/>
  <c r="C12"/>
  <c r="I11"/>
  <c r="P12" s="1"/>
  <c r="C11"/>
  <c r="I10"/>
  <c r="I9"/>
  <c r="F9"/>
  <c r="U8"/>
  <c r="S8"/>
  <c r="I8"/>
  <c r="F7"/>
  <c r="F13" s="1"/>
  <c r="C7"/>
  <c r="C13" s="1"/>
  <c r="B7"/>
  <c r="B13" s="1"/>
  <c r="C112" i="31"/>
  <c r="C104"/>
  <c r="C103"/>
  <c r="C101"/>
  <c r="AB99"/>
  <c r="X94"/>
  <c r="O92"/>
  <c r="N92"/>
  <c r="M92"/>
  <c r="L92"/>
  <c r="K92"/>
  <c r="I92"/>
  <c r="H92"/>
  <c r="X92" s="1"/>
  <c r="G92"/>
  <c r="F92"/>
  <c r="E92"/>
  <c r="D92"/>
  <c r="C92"/>
  <c r="B92"/>
  <c r="P91"/>
  <c r="J90"/>
  <c r="P90" s="1"/>
  <c r="J89"/>
  <c r="P89" s="1"/>
  <c r="AC88"/>
  <c r="J88"/>
  <c r="P88" s="1"/>
  <c r="J87"/>
  <c r="P87" s="1"/>
  <c r="J86"/>
  <c r="P86" s="1"/>
  <c r="J85"/>
  <c r="P85" s="1"/>
  <c r="J84"/>
  <c r="P84" s="1"/>
  <c r="J83"/>
  <c r="P83" s="1"/>
  <c r="J82"/>
  <c r="P82" s="1"/>
  <c r="J81"/>
  <c r="P81" s="1"/>
  <c r="J80"/>
  <c r="P80" s="1"/>
  <c r="J79"/>
  <c r="P79" s="1"/>
  <c r="J78"/>
  <c r="P78" s="1"/>
  <c r="J77"/>
  <c r="P77" s="1"/>
  <c r="AB89"/>
  <c r="AE76"/>
  <c r="J76"/>
  <c r="AB88" s="1"/>
  <c r="J75"/>
  <c r="P75" s="1"/>
  <c r="P74"/>
  <c r="P73"/>
  <c r="J72"/>
  <c r="AC92" s="1"/>
  <c r="P71"/>
  <c r="Q70"/>
  <c r="O70"/>
  <c r="N70"/>
  <c r="M70"/>
  <c r="L70"/>
  <c r="K70"/>
  <c r="I70"/>
  <c r="H70"/>
  <c r="X70" s="1"/>
  <c r="G70"/>
  <c r="E70"/>
  <c r="D70"/>
  <c r="C70"/>
  <c r="B70"/>
  <c r="J69"/>
  <c r="P69" s="1"/>
  <c r="J68"/>
  <c r="AF59" s="1"/>
  <c r="J67"/>
  <c r="P67" s="1"/>
  <c r="J66"/>
  <c r="P66" s="1"/>
  <c r="J65"/>
  <c r="P65" s="1"/>
  <c r="J64"/>
  <c r="J63"/>
  <c r="P63" s="1"/>
  <c r="J62"/>
  <c r="P62" s="1"/>
  <c r="J61"/>
  <c r="P61" s="1"/>
  <c r="P60"/>
  <c r="F59"/>
  <c r="F70" s="1"/>
  <c r="P58"/>
  <c r="P57"/>
  <c r="O56"/>
  <c r="N56"/>
  <c r="M56"/>
  <c r="L56"/>
  <c r="K56"/>
  <c r="I56"/>
  <c r="H56"/>
  <c r="G56"/>
  <c r="F56"/>
  <c r="E56"/>
  <c r="D56"/>
  <c r="C56"/>
  <c r="B56"/>
  <c r="J52"/>
  <c r="J56" s="1"/>
  <c r="P51"/>
  <c r="O50"/>
  <c r="N50"/>
  <c r="M50"/>
  <c r="L50"/>
  <c r="K50"/>
  <c r="I50"/>
  <c r="H50"/>
  <c r="G50"/>
  <c r="F50"/>
  <c r="E50"/>
  <c r="D50"/>
  <c r="C50"/>
  <c r="B50"/>
  <c r="J49"/>
  <c r="P49" s="1"/>
  <c r="J48"/>
  <c r="P47"/>
  <c r="Q46"/>
  <c r="O46"/>
  <c r="N46"/>
  <c r="M46"/>
  <c r="L46"/>
  <c r="K46"/>
  <c r="I46"/>
  <c r="H46"/>
  <c r="G46"/>
  <c r="F46"/>
  <c r="E46"/>
  <c r="D46"/>
  <c r="C46"/>
  <c r="B46"/>
  <c r="J40"/>
  <c r="P40" s="1"/>
  <c r="J39"/>
  <c r="P39" s="1"/>
  <c r="J38"/>
  <c r="P38" s="1"/>
  <c r="J36"/>
  <c r="P36" s="1"/>
  <c r="J35"/>
  <c r="P35" s="1"/>
  <c r="AE34"/>
  <c r="J34"/>
  <c r="J32"/>
  <c r="J31"/>
  <c r="P31" s="1"/>
  <c r="J29"/>
  <c r="P29" s="1"/>
  <c r="J28"/>
  <c r="P28" s="1"/>
  <c r="J27"/>
  <c r="P27" s="1"/>
  <c r="J26"/>
  <c r="J25"/>
  <c r="J24"/>
  <c r="P24" s="1"/>
  <c r="AE23"/>
  <c r="J23"/>
  <c r="P23" s="1"/>
  <c r="J22"/>
  <c r="P22" s="1"/>
  <c r="AA21"/>
  <c r="Q21"/>
  <c r="AB20"/>
  <c r="Q20"/>
  <c r="O20"/>
  <c r="N20"/>
  <c r="M20"/>
  <c r="L20"/>
  <c r="K20"/>
  <c r="I20"/>
  <c r="H20"/>
  <c r="G20"/>
  <c r="F20"/>
  <c r="E20"/>
  <c r="D20"/>
  <c r="C20"/>
  <c r="B20"/>
  <c r="AD19"/>
  <c r="P19"/>
  <c r="AD18"/>
  <c r="P18"/>
  <c r="AD17"/>
  <c r="P17"/>
  <c r="AD16"/>
  <c r="P16"/>
  <c r="AC15"/>
  <c r="AC21" s="1"/>
  <c r="AB15"/>
  <c r="J15"/>
  <c r="P15" s="1"/>
  <c r="J14"/>
  <c r="P14" s="1"/>
  <c r="AC13"/>
  <c r="AB13"/>
  <c r="J13"/>
  <c r="P13" s="1"/>
  <c r="AF12"/>
  <c r="AB12"/>
  <c r="J12"/>
  <c r="P12" s="1"/>
  <c r="AC11"/>
  <c r="AB11"/>
  <c r="Y11"/>
  <c r="J11"/>
  <c r="P11" s="1"/>
  <c r="J10"/>
  <c r="P10" s="1"/>
  <c r="J9"/>
  <c r="P9" s="1"/>
  <c r="J8"/>
  <c r="P8" s="1"/>
  <c r="J7"/>
  <c r="P7" s="1"/>
  <c r="D41" i="32" l="1"/>
  <c r="I40"/>
  <c r="R7" s="1"/>
  <c r="F41"/>
  <c r="I32"/>
  <c r="H41"/>
  <c r="S16"/>
  <c r="D44" s="1"/>
  <c r="D46" s="1"/>
  <c r="U13"/>
  <c r="U16" s="1"/>
  <c r="S34"/>
  <c r="T7"/>
  <c r="T11" s="1"/>
  <c r="I24"/>
  <c r="I36"/>
  <c r="B41"/>
  <c r="C41"/>
  <c r="I7"/>
  <c r="P13" s="1"/>
  <c r="I16"/>
  <c r="C24"/>
  <c r="I34"/>
  <c r="S10" s="1"/>
  <c r="I35"/>
  <c r="T10" s="1"/>
  <c r="P76" i="31"/>
  <c r="J50"/>
  <c r="Z15" s="1"/>
  <c r="AE59"/>
  <c r="AG59" s="1"/>
  <c r="P72"/>
  <c r="Y20"/>
  <c r="Y21" s="1"/>
  <c r="Y38" s="1"/>
  <c r="AC70"/>
  <c r="AB14"/>
  <c r="P48"/>
  <c r="P64"/>
  <c r="X93"/>
  <c r="C93"/>
  <c r="G93"/>
  <c r="L93"/>
  <c r="C100"/>
  <c r="M93"/>
  <c r="J92"/>
  <c r="P92" s="1"/>
  <c r="J46"/>
  <c r="Z20" s="1"/>
  <c r="AD20" s="1"/>
  <c r="P68"/>
  <c r="P52"/>
  <c r="AB21"/>
  <c r="B93"/>
  <c r="B94" s="1"/>
  <c r="F93"/>
  <c r="AC93" s="1"/>
  <c r="K93"/>
  <c r="O93"/>
  <c r="D93"/>
  <c r="H93"/>
  <c r="E93"/>
  <c r="I93"/>
  <c r="AC14"/>
  <c r="AC22" s="1"/>
  <c r="N93"/>
  <c r="D112"/>
  <c r="E112" s="1"/>
  <c r="P50"/>
  <c r="P56"/>
  <c r="C99"/>
  <c r="Y13"/>
  <c r="Y14" s="1"/>
  <c r="AC23"/>
  <c r="P34"/>
  <c r="J20"/>
  <c r="J59"/>
  <c r="AC89"/>
  <c r="B74" i="25"/>
  <c r="I12"/>
  <c r="B20"/>
  <c r="C105" i="31" l="1"/>
  <c r="I41" i="32"/>
  <c r="I44" s="1"/>
  <c r="C43"/>
  <c r="E43" s="1"/>
  <c r="C45"/>
  <c r="E45" s="1"/>
  <c r="T18"/>
  <c r="S32"/>
  <c r="U10"/>
  <c r="T26"/>
  <c r="S7"/>
  <c r="S11" s="1"/>
  <c r="T27"/>
  <c r="R11"/>
  <c r="R18" s="1"/>
  <c r="AB92" i="31"/>
  <c r="P46"/>
  <c r="AB22"/>
  <c r="AC31" s="1"/>
  <c r="J70"/>
  <c r="J93" s="1"/>
  <c r="P59"/>
  <c r="Z13"/>
  <c r="AD13" s="1"/>
  <c r="Z21"/>
  <c r="AD15"/>
  <c r="AD21" s="1"/>
  <c r="P20"/>
  <c r="AA11"/>
  <c r="Y22"/>
  <c r="C44" i="32" l="1"/>
  <c r="S33"/>
  <c r="S18"/>
  <c r="U7"/>
  <c r="U11" s="1"/>
  <c r="U18" s="1"/>
  <c r="T28"/>
  <c r="T30" s="1"/>
  <c r="S35"/>
  <c r="AB23" i="31"/>
  <c r="AD23" s="1"/>
  <c r="AF23" s="1"/>
  <c r="J96"/>
  <c r="AD93"/>
  <c r="J102"/>
  <c r="AB101"/>
  <c r="G94"/>
  <c r="Z12"/>
  <c r="P70"/>
  <c r="AB70"/>
  <c r="Y39"/>
  <c r="AB34"/>
  <c r="P93"/>
  <c r="AA14"/>
  <c r="AA22" s="1"/>
  <c r="AD11"/>
  <c r="F9" i="7"/>
  <c r="F7"/>
  <c r="B49" i="25"/>
  <c r="I48"/>
  <c r="I17" i="7"/>
  <c r="F15"/>
  <c r="I44" i="25"/>
  <c r="E44" i="32" l="1"/>
  <c r="E46" s="1"/>
  <c r="C46"/>
  <c r="Z14" i="31"/>
  <c r="AD12"/>
  <c r="AD14" s="1"/>
  <c r="J31" i="26"/>
  <c r="I78" i="25"/>
  <c r="I76"/>
  <c r="Q76"/>
  <c r="B112"/>
  <c r="G112"/>
  <c r="F112"/>
  <c r="D112"/>
  <c r="C112"/>
  <c r="I111"/>
  <c r="Q109"/>
  <c r="Z22" i="31" l="1"/>
  <c r="Y23" s="1"/>
  <c r="AC35"/>
  <c r="AF14"/>
  <c r="AD22"/>
  <c r="O105" i="25"/>
  <c r="I6"/>
  <c r="AC24" i="31" l="1"/>
  <c r="AA34"/>
  <c r="J94"/>
  <c r="Z11" i="26"/>
  <c r="O132" i="25" l="1"/>
  <c r="O116"/>
  <c r="O114"/>
  <c r="O113"/>
  <c r="O108"/>
  <c r="O107"/>
  <c r="T107" s="1"/>
  <c r="O106"/>
  <c r="O104"/>
  <c r="O103"/>
  <c r="O102"/>
  <c r="O101"/>
  <c r="O100"/>
  <c r="O97"/>
  <c r="O96"/>
  <c r="O95"/>
  <c r="O94"/>
  <c r="O93"/>
  <c r="O92"/>
  <c r="O91"/>
  <c r="O90"/>
  <c r="O89"/>
  <c r="O88"/>
  <c r="O87"/>
  <c r="O86"/>
  <c r="O81"/>
  <c r="O78"/>
  <c r="O77"/>
  <c r="O76"/>
  <c r="O68"/>
  <c r="O67"/>
  <c r="O66"/>
  <c r="O65"/>
  <c r="O64"/>
  <c r="O62"/>
  <c r="O61"/>
  <c r="O60"/>
  <c r="O59"/>
  <c r="O58"/>
  <c r="O57"/>
  <c r="O55"/>
  <c r="O54"/>
  <c r="O52"/>
  <c r="O51"/>
  <c r="O19"/>
  <c r="O18"/>
  <c r="O17"/>
  <c r="O16"/>
  <c r="O15"/>
  <c r="O14"/>
  <c r="O13"/>
  <c r="O12"/>
  <c r="O11"/>
  <c r="O10"/>
  <c r="O9"/>
  <c r="O8"/>
  <c r="O7"/>
  <c r="O6"/>
  <c r="O40"/>
  <c r="O41"/>
  <c r="O38"/>
  <c r="O36"/>
  <c r="O31"/>
  <c r="O32"/>
  <c r="O33"/>
  <c r="O34"/>
  <c r="O35"/>
  <c r="J35" i="26" l="1"/>
  <c r="P35" s="1"/>
  <c r="B84" l="1"/>
  <c r="J81"/>
  <c r="J80"/>
  <c r="J71"/>
  <c r="J70"/>
  <c r="J68"/>
  <c r="J66"/>
  <c r="J65"/>
  <c r="J62"/>
  <c r="B60"/>
  <c r="J59"/>
  <c r="J54"/>
  <c r="J53"/>
  <c r="J52"/>
  <c r="J51"/>
  <c r="B46"/>
  <c r="J44"/>
  <c r="J46" s="1"/>
  <c r="J40"/>
  <c r="B42"/>
  <c r="B20"/>
  <c r="B38"/>
  <c r="J37"/>
  <c r="J36"/>
  <c r="J34"/>
  <c r="J33"/>
  <c r="J32"/>
  <c r="J30"/>
  <c r="J29"/>
  <c r="J28"/>
  <c r="J27"/>
  <c r="J26"/>
  <c r="J25"/>
  <c r="J24"/>
  <c r="J23"/>
  <c r="J22"/>
  <c r="J19"/>
  <c r="J14"/>
  <c r="J13"/>
  <c r="J12"/>
  <c r="J11"/>
  <c r="J10"/>
  <c r="J9"/>
  <c r="J8"/>
  <c r="J7"/>
  <c r="J6"/>
  <c r="H20"/>
  <c r="H38"/>
  <c r="H42"/>
  <c r="H46"/>
  <c r="H60"/>
  <c r="H84"/>
  <c r="H85" l="1"/>
  <c r="B85"/>
  <c r="F16" i="27"/>
  <c r="F17"/>
  <c r="U27" i="25"/>
  <c r="B29"/>
  <c r="B42"/>
  <c r="B46"/>
  <c r="T27" s="1"/>
  <c r="B63"/>
  <c r="B69"/>
  <c r="Q29" s="1"/>
  <c r="R28"/>
  <c r="B73"/>
  <c r="B85"/>
  <c r="B98"/>
  <c r="R20" s="1"/>
  <c r="R24"/>
  <c r="B117"/>
  <c r="Q24" s="1"/>
  <c r="B121"/>
  <c r="I116"/>
  <c r="I97"/>
  <c r="I81"/>
  <c r="I68"/>
  <c r="I45"/>
  <c r="I41"/>
  <c r="I28"/>
  <c r="I100"/>
  <c r="I86"/>
  <c r="I64"/>
  <c r="I31"/>
  <c r="I119"/>
  <c r="I114"/>
  <c r="I108"/>
  <c r="I107"/>
  <c r="I106"/>
  <c r="I105"/>
  <c r="I104"/>
  <c r="I103"/>
  <c r="I102"/>
  <c r="I101"/>
  <c r="I96"/>
  <c r="I95"/>
  <c r="I94"/>
  <c r="I93"/>
  <c r="I92"/>
  <c r="I91"/>
  <c r="I90"/>
  <c r="I89"/>
  <c r="I88"/>
  <c r="I87"/>
  <c r="I77"/>
  <c r="I71"/>
  <c r="I73" s="1"/>
  <c r="I67"/>
  <c r="I66"/>
  <c r="I65"/>
  <c r="I62"/>
  <c r="I61"/>
  <c r="I60"/>
  <c r="I59"/>
  <c r="I58"/>
  <c r="I57"/>
  <c r="I55"/>
  <c r="I54"/>
  <c r="I52"/>
  <c r="I51"/>
  <c r="I40"/>
  <c r="I39"/>
  <c r="I38"/>
  <c r="I37"/>
  <c r="I36"/>
  <c r="I35"/>
  <c r="I34"/>
  <c r="I33"/>
  <c r="I32"/>
  <c r="I27"/>
  <c r="I26"/>
  <c r="I25"/>
  <c r="I18"/>
  <c r="I17"/>
  <c r="I16"/>
  <c r="I15"/>
  <c r="I14"/>
  <c r="I13"/>
  <c r="I11"/>
  <c r="I10"/>
  <c r="I9"/>
  <c r="I8"/>
  <c r="I7"/>
  <c r="S19"/>
  <c r="I19"/>
  <c r="B5" l="1"/>
  <c r="U19"/>
  <c r="B50"/>
  <c r="B30"/>
  <c r="I29"/>
  <c r="U6" s="1"/>
  <c r="P107"/>
  <c r="I69"/>
  <c r="R29"/>
  <c r="R27"/>
  <c r="B99"/>
  <c r="I98"/>
  <c r="I85"/>
  <c r="I20"/>
  <c r="I26" i="7"/>
  <c r="I22"/>
  <c r="I15"/>
  <c r="B28"/>
  <c r="B40"/>
  <c r="C40"/>
  <c r="I39"/>
  <c r="B19"/>
  <c r="B24"/>
  <c r="I8"/>
  <c r="M8"/>
  <c r="O8" s="1"/>
  <c r="B36"/>
  <c r="I10"/>
  <c r="I9"/>
  <c r="B7"/>
  <c r="B13" l="1"/>
  <c r="B41"/>
  <c r="B86" i="26" s="1"/>
  <c r="B122" i="25"/>
  <c r="R109"/>
  <c r="R116"/>
  <c r="Q116"/>
  <c r="R112"/>
  <c r="S107"/>
  <c r="R107"/>
  <c r="D35" i="7"/>
  <c r="C35"/>
  <c r="D16"/>
  <c r="C16"/>
  <c r="C11"/>
  <c r="I11" s="1"/>
  <c r="J12" s="1"/>
  <c r="C23"/>
  <c r="I16" l="1"/>
  <c r="I35"/>
  <c r="O53" i="25"/>
  <c r="I53"/>
  <c r="E35" i="7"/>
  <c r="C34"/>
  <c r="I34" s="1"/>
  <c r="E23"/>
  <c r="I23" s="1"/>
  <c r="E21"/>
  <c r="C21"/>
  <c r="C18"/>
  <c r="I18" s="1"/>
  <c r="C12"/>
  <c r="I12" s="1"/>
  <c r="C7"/>
  <c r="I7" s="1"/>
  <c r="I21" l="1"/>
  <c r="Q110" i="25"/>
  <c r="P110"/>
  <c r="H46" l="1"/>
  <c r="G46"/>
  <c r="F46"/>
  <c r="E46"/>
  <c r="H36" i="28"/>
  <c r="C74" i="25"/>
  <c r="B24" i="28" s="1"/>
  <c r="I8"/>
  <c r="J14" s="1"/>
  <c r="I14"/>
  <c r="J15" i="29" l="1"/>
  <c r="I15"/>
  <c r="H15"/>
  <c r="G15"/>
  <c r="C15"/>
  <c r="C16" s="1"/>
  <c r="C18" s="1"/>
  <c r="B15"/>
  <c r="F10"/>
  <c r="F9"/>
  <c r="F17" s="1"/>
  <c r="F8"/>
  <c r="F7"/>
  <c r="F15" s="1"/>
  <c r="F6"/>
  <c r="F16" l="1"/>
  <c r="F18" s="1"/>
  <c r="F49" i="26"/>
  <c r="J49" s="1"/>
  <c r="G85" i="25"/>
  <c r="E109"/>
  <c r="E110"/>
  <c r="O110" l="1"/>
  <c r="S110" s="1"/>
  <c r="I110"/>
  <c r="O56"/>
  <c r="I56"/>
  <c r="I63" s="1"/>
  <c r="O79"/>
  <c r="I79"/>
  <c r="E112"/>
  <c r="O109"/>
  <c r="T109" s="1"/>
  <c r="I109"/>
  <c r="I112" s="1"/>
  <c r="O80"/>
  <c r="I80"/>
  <c r="O75"/>
  <c r="I75"/>
  <c r="L16" i="7"/>
  <c r="N13"/>
  <c r="N16" s="1"/>
  <c r="D45" s="1"/>
  <c r="P30" i="26"/>
  <c r="C38"/>
  <c r="C69" i="25"/>
  <c r="C42"/>
  <c r="B23" i="28" s="1"/>
  <c r="I30" i="7"/>
  <c r="M15" s="1"/>
  <c r="C13"/>
  <c r="I46" i="25"/>
  <c r="C36" i="7"/>
  <c r="B34" i="28" s="1"/>
  <c r="C32" i="7"/>
  <c r="C28"/>
  <c r="B33" i="28" s="1"/>
  <c r="C24" i="7"/>
  <c r="C19"/>
  <c r="M13" l="1"/>
  <c r="V14" i="26" s="1"/>
  <c r="J13" i="7"/>
  <c r="C41"/>
  <c r="D40"/>
  <c r="G124" i="25"/>
  <c r="G125" s="1"/>
  <c r="G121"/>
  <c r="G117"/>
  <c r="G98"/>
  <c r="G84"/>
  <c r="G74"/>
  <c r="F24" i="28" s="1"/>
  <c r="G73" i="25"/>
  <c r="G69"/>
  <c r="G63"/>
  <c r="G49"/>
  <c r="G42"/>
  <c r="F23" i="28" s="1"/>
  <c r="G29" i="25"/>
  <c r="G23"/>
  <c r="G20"/>
  <c r="M16" i="7" l="1"/>
  <c r="D44" s="1"/>
  <c r="D46" s="1"/>
  <c r="G50" i="25"/>
  <c r="G30"/>
  <c r="G128"/>
  <c r="G99"/>
  <c r="G5"/>
  <c r="R69"/>
  <c r="Q69"/>
  <c r="E140"/>
  <c r="Q75"/>
  <c r="C63"/>
  <c r="S63" s="1"/>
  <c r="L52"/>
  <c r="L53"/>
  <c r="L104"/>
  <c r="G122" l="1"/>
  <c r="J15" i="27"/>
  <c r="I15"/>
  <c r="H15"/>
  <c r="G15"/>
  <c r="C15"/>
  <c r="C16" s="1"/>
  <c r="C18" s="1"/>
  <c r="B15"/>
  <c r="F10"/>
  <c r="F9"/>
  <c r="F8"/>
  <c r="F7"/>
  <c r="F15" s="1"/>
  <c r="F6"/>
  <c r="F18" l="1"/>
  <c r="C93" i="26" l="1"/>
  <c r="V91"/>
  <c r="R86"/>
  <c r="O84"/>
  <c r="N84"/>
  <c r="M84"/>
  <c r="L84"/>
  <c r="K84"/>
  <c r="R84"/>
  <c r="G84"/>
  <c r="F22" i="28" s="1"/>
  <c r="F84" i="26"/>
  <c r="E84"/>
  <c r="D84"/>
  <c r="C84"/>
  <c r="P83"/>
  <c r="J82"/>
  <c r="P82" s="1"/>
  <c r="W80"/>
  <c r="P80"/>
  <c r="J79"/>
  <c r="P79" s="1"/>
  <c r="J78"/>
  <c r="P78" s="1"/>
  <c r="J77"/>
  <c r="P77" s="1"/>
  <c r="J76"/>
  <c r="P76" s="1"/>
  <c r="J75"/>
  <c r="P75" s="1"/>
  <c r="J74"/>
  <c r="P74" s="1"/>
  <c r="J73"/>
  <c r="P73" s="1"/>
  <c r="J72"/>
  <c r="P72" s="1"/>
  <c r="P71"/>
  <c r="P70"/>
  <c r="J69"/>
  <c r="P69" s="1"/>
  <c r="V81"/>
  <c r="Y67"/>
  <c r="J67"/>
  <c r="V80" s="1"/>
  <c r="P66"/>
  <c r="P65"/>
  <c r="P64"/>
  <c r="P63"/>
  <c r="P62"/>
  <c r="P61"/>
  <c r="Q60"/>
  <c r="O60"/>
  <c r="N60"/>
  <c r="M60"/>
  <c r="L60"/>
  <c r="K60"/>
  <c r="I60"/>
  <c r="R60"/>
  <c r="F60"/>
  <c r="E60"/>
  <c r="D60"/>
  <c r="C60"/>
  <c r="P59"/>
  <c r="J58"/>
  <c r="Z49" s="1"/>
  <c r="J57"/>
  <c r="P57" s="1"/>
  <c r="J56"/>
  <c r="P56" s="1"/>
  <c r="J55"/>
  <c r="P55" s="1"/>
  <c r="P54"/>
  <c r="P53"/>
  <c r="P52"/>
  <c r="P51"/>
  <c r="P50"/>
  <c r="P48"/>
  <c r="P47"/>
  <c r="O46"/>
  <c r="N46"/>
  <c r="M46"/>
  <c r="L46"/>
  <c r="K46"/>
  <c r="I46"/>
  <c r="G46"/>
  <c r="F46"/>
  <c r="E46"/>
  <c r="D46"/>
  <c r="C46"/>
  <c r="P43"/>
  <c r="O42"/>
  <c r="N42"/>
  <c r="M42"/>
  <c r="L42"/>
  <c r="K42"/>
  <c r="I42"/>
  <c r="G42"/>
  <c r="F42"/>
  <c r="E42"/>
  <c r="D42"/>
  <c r="C42"/>
  <c r="J41"/>
  <c r="P41" s="1"/>
  <c r="P40"/>
  <c r="P39"/>
  <c r="Q38"/>
  <c r="O38"/>
  <c r="N38"/>
  <c r="M38"/>
  <c r="L38"/>
  <c r="K38"/>
  <c r="I38"/>
  <c r="G38"/>
  <c r="F25" i="28" s="1"/>
  <c r="F38" i="26"/>
  <c r="E38"/>
  <c r="D38"/>
  <c r="P37"/>
  <c r="P36"/>
  <c r="P34"/>
  <c r="P33"/>
  <c r="Y32"/>
  <c r="P32"/>
  <c r="P29"/>
  <c r="P28"/>
  <c r="P27"/>
  <c r="P24"/>
  <c r="P23"/>
  <c r="P22"/>
  <c r="U21"/>
  <c r="Q21"/>
  <c r="Q20"/>
  <c r="O20"/>
  <c r="N20"/>
  <c r="M20"/>
  <c r="L20"/>
  <c r="K20"/>
  <c r="I20"/>
  <c r="G20"/>
  <c r="F20" i="28" s="1"/>
  <c r="F20" i="26"/>
  <c r="E20"/>
  <c r="D20"/>
  <c r="C20"/>
  <c r="AA19"/>
  <c r="P19"/>
  <c r="X18"/>
  <c r="P18"/>
  <c r="X17"/>
  <c r="P17"/>
  <c r="X16"/>
  <c r="P16"/>
  <c r="X15"/>
  <c r="P15"/>
  <c r="P14"/>
  <c r="P13"/>
  <c r="P12"/>
  <c r="P11"/>
  <c r="P10"/>
  <c r="P9"/>
  <c r="P8"/>
  <c r="P6"/>
  <c r="Q139" i="25"/>
  <c r="M137"/>
  <c r="M140" s="1"/>
  <c r="I125"/>
  <c r="H124"/>
  <c r="H125" s="1"/>
  <c r="F124"/>
  <c r="F125" s="1"/>
  <c r="E124"/>
  <c r="E123"/>
  <c r="M122"/>
  <c r="H121"/>
  <c r="F121"/>
  <c r="E121"/>
  <c r="D121"/>
  <c r="C121"/>
  <c r="I121"/>
  <c r="AC117"/>
  <c r="AA117"/>
  <c r="Z117"/>
  <c r="Y117"/>
  <c r="Q117"/>
  <c r="H117"/>
  <c r="F117"/>
  <c r="E117"/>
  <c r="D117"/>
  <c r="C117"/>
  <c r="Q25" s="1"/>
  <c r="L116"/>
  <c r="P116"/>
  <c r="L115"/>
  <c r="I115"/>
  <c r="Q114"/>
  <c r="L114"/>
  <c r="L113"/>
  <c r="I113"/>
  <c r="AC112"/>
  <c r="AB112"/>
  <c r="AA112"/>
  <c r="Z112"/>
  <c r="Y112"/>
  <c r="H112"/>
  <c r="L110"/>
  <c r="M108"/>
  <c r="L108"/>
  <c r="L107"/>
  <c r="L106"/>
  <c r="L105"/>
  <c r="L103"/>
  <c r="L102"/>
  <c r="L101"/>
  <c r="L100"/>
  <c r="M99"/>
  <c r="AC98"/>
  <c r="AB98"/>
  <c r="AA98"/>
  <c r="Z98"/>
  <c r="Y98"/>
  <c r="Q98"/>
  <c r="F98"/>
  <c r="C98"/>
  <c r="V20" s="1"/>
  <c r="L97"/>
  <c r="L96"/>
  <c r="L95"/>
  <c r="L94"/>
  <c r="L93"/>
  <c r="D98"/>
  <c r="L92"/>
  <c r="L91"/>
  <c r="L90"/>
  <c r="L88"/>
  <c r="L87"/>
  <c r="L86"/>
  <c r="AC85"/>
  <c r="AB85"/>
  <c r="AA85"/>
  <c r="Z85"/>
  <c r="Y85"/>
  <c r="F85"/>
  <c r="E85"/>
  <c r="D85"/>
  <c r="C85"/>
  <c r="B21" i="28" s="1"/>
  <c r="H84" i="25"/>
  <c r="F84"/>
  <c r="L83"/>
  <c r="L82"/>
  <c r="L81"/>
  <c r="L79"/>
  <c r="V28"/>
  <c r="E84"/>
  <c r="M74"/>
  <c r="H74"/>
  <c r="G24" i="28" s="1"/>
  <c r="F74" i="25"/>
  <c r="H73"/>
  <c r="F73"/>
  <c r="E73"/>
  <c r="D73"/>
  <c r="C73"/>
  <c r="T12"/>
  <c r="AC69"/>
  <c r="AB69"/>
  <c r="AA69"/>
  <c r="Z69"/>
  <c r="Y69"/>
  <c r="H69"/>
  <c r="F69"/>
  <c r="E69"/>
  <c r="D69"/>
  <c r="L68"/>
  <c r="L67"/>
  <c r="L66"/>
  <c r="L65"/>
  <c r="L64"/>
  <c r="AC63"/>
  <c r="AB63"/>
  <c r="AA63"/>
  <c r="Z63"/>
  <c r="Y63"/>
  <c r="F63"/>
  <c r="E63"/>
  <c r="L62"/>
  <c r="L61"/>
  <c r="L60"/>
  <c r="L59"/>
  <c r="L58"/>
  <c r="L57"/>
  <c r="L51"/>
  <c r="AD50"/>
  <c r="S50"/>
  <c r="Q50"/>
  <c r="T49"/>
  <c r="H49"/>
  <c r="G35" i="28" s="1"/>
  <c r="F49" i="25"/>
  <c r="E49"/>
  <c r="D49"/>
  <c r="C49"/>
  <c r="S48"/>
  <c r="R48"/>
  <c r="Q48"/>
  <c r="I49"/>
  <c r="S47"/>
  <c r="T47" s="1"/>
  <c r="AB46"/>
  <c r="AA46"/>
  <c r="Y46"/>
  <c r="S46"/>
  <c r="T46" s="1"/>
  <c r="D46"/>
  <c r="C46"/>
  <c r="AC42"/>
  <c r="AB42"/>
  <c r="AA42"/>
  <c r="Z42"/>
  <c r="Y42"/>
  <c r="N42"/>
  <c r="H42"/>
  <c r="G23" i="28" s="1"/>
  <c r="F42" i="25"/>
  <c r="L41"/>
  <c r="L40"/>
  <c r="L39"/>
  <c r="L38"/>
  <c r="L37"/>
  <c r="I42"/>
  <c r="L36"/>
  <c r="L35"/>
  <c r="L34"/>
  <c r="L33"/>
  <c r="L32"/>
  <c r="E42"/>
  <c r="S30"/>
  <c r="J30"/>
  <c r="AA29"/>
  <c r="Z29"/>
  <c r="Y29"/>
  <c r="H29"/>
  <c r="F29"/>
  <c r="E29"/>
  <c r="E129" s="1"/>
  <c r="D29"/>
  <c r="C29"/>
  <c r="B32" i="28" s="1"/>
  <c r="AC28" i="25"/>
  <c r="AC27"/>
  <c r="T30"/>
  <c r="AC26"/>
  <c r="AC25"/>
  <c r="T25"/>
  <c r="T26" s="1"/>
  <c r="V23"/>
  <c r="I23"/>
  <c r="H23"/>
  <c r="F23"/>
  <c r="E23"/>
  <c r="V22"/>
  <c r="V21"/>
  <c r="AC20"/>
  <c r="AB20"/>
  <c r="AA20"/>
  <c r="Z20"/>
  <c r="Y20"/>
  <c r="N20"/>
  <c r="M20"/>
  <c r="H20"/>
  <c r="E20"/>
  <c r="D20" i="28" s="1"/>
  <c r="D20" i="25"/>
  <c r="C20"/>
  <c r="L19"/>
  <c r="L18"/>
  <c r="L17"/>
  <c r="L16"/>
  <c r="L15"/>
  <c r="L14"/>
  <c r="S13"/>
  <c r="L12"/>
  <c r="L10"/>
  <c r="L7"/>
  <c r="I30" l="1"/>
  <c r="B35" i="28"/>
  <c r="B38" s="1"/>
  <c r="C21"/>
  <c r="D23"/>
  <c r="P118" i="25"/>
  <c r="Q63"/>
  <c r="I74"/>
  <c r="D21" i="28"/>
  <c r="E24"/>
  <c r="E21"/>
  <c r="D5" i="25"/>
  <c r="C20" i="28"/>
  <c r="E136" i="25"/>
  <c r="G136" s="1"/>
  <c r="G20" i="28"/>
  <c r="E23"/>
  <c r="B20"/>
  <c r="N85" i="26"/>
  <c r="Y49"/>
  <c r="W60"/>
  <c r="P44"/>
  <c r="J42"/>
  <c r="E85"/>
  <c r="J20"/>
  <c r="U10" s="1"/>
  <c r="U13" s="1"/>
  <c r="U22" s="1"/>
  <c r="AC29" i="25"/>
  <c r="E30"/>
  <c r="Q107"/>
  <c r="E125"/>
  <c r="P109"/>
  <c r="H99"/>
  <c r="H128"/>
  <c r="E128"/>
  <c r="C99"/>
  <c r="B22" i="28" s="1"/>
  <c r="T50" i="25"/>
  <c r="F99"/>
  <c r="E22" i="28" s="1"/>
  <c r="L84" i="25"/>
  <c r="L9"/>
  <c r="L11"/>
  <c r="F50"/>
  <c r="E25" i="28" s="1"/>
  <c r="L75" i="25"/>
  <c r="T48"/>
  <c r="T63"/>
  <c r="Q60"/>
  <c r="F128"/>
  <c r="T10"/>
  <c r="T13" s="1"/>
  <c r="E50"/>
  <c r="D25" i="28" s="1"/>
  <c r="C50" i="25"/>
  <c r="B25" i="28" s="1"/>
  <c r="I117" i="25"/>
  <c r="Q8" s="1"/>
  <c r="R25"/>
  <c r="C5"/>
  <c r="E135"/>
  <c r="G135" s="1"/>
  <c r="T8"/>
  <c r="T9" s="1"/>
  <c r="E99"/>
  <c r="D22" i="28" s="1"/>
  <c r="D63" i="25"/>
  <c r="D50" s="1"/>
  <c r="C25" i="28" s="1"/>
  <c r="D85" i="26"/>
  <c r="M85"/>
  <c r="S20"/>
  <c r="S21" s="1"/>
  <c r="S35" s="1"/>
  <c r="P67"/>
  <c r="D104"/>
  <c r="V29" i="25"/>
  <c r="L56"/>
  <c r="D74"/>
  <c r="C24" i="28" s="1"/>
  <c r="P7" i="26"/>
  <c r="F85"/>
  <c r="W85" s="1"/>
  <c r="K85"/>
  <c r="O85"/>
  <c r="R85"/>
  <c r="L6" i="25"/>
  <c r="L13"/>
  <c r="U25"/>
  <c r="U26" s="1"/>
  <c r="H30"/>
  <c r="F30"/>
  <c r="Q12"/>
  <c r="C85" i="26"/>
  <c r="L85"/>
  <c r="I84"/>
  <c r="I85" s="1"/>
  <c r="C104"/>
  <c r="J84"/>
  <c r="P46"/>
  <c r="T19"/>
  <c r="X19" s="1"/>
  <c r="J60"/>
  <c r="P49"/>
  <c r="S12"/>
  <c r="P81"/>
  <c r="W65"/>
  <c r="J38"/>
  <c r="G60"/>
  <c r="W81"/>
  <c r="W84"/>
  <c r="C91"/>
  <c r="P58"/>
  <c r="V65"/>
  <c r="P68"/>
  <c r="U30" i="25"/>
  <c r="F136"/>
  <c r="U10"/>
  <c r="U13" s="1"/>
  <c r="P114"/>
  <c r="E5"/>
  <c r="Q26"/>
  <c r="L8"/>
  <c r="F20"/>
  <c r="Q30"/>
  <c r="Q31" s="1"/>
  <c r="H5"/>
  <c r="S25"/>
  <c r="L31"/>
  <c r="T31"/>
  <c r="H63"/>
  <c r="H50" s="1"/>
  <c r="G25" i="28" s="1"/>
  <c r="E74" i="25"/>
  <c r="D24" i="28" s="1"/>
  <c r="L80" i="25"/>
  <c r="H85"/>
  <c r="L89"/>
  <c r="H98"/>
  <c r="L109"/>
  <c r="P112"/>
  <c r="P113"/>
  <c r="D42"/>
  <c r="E98"/>
  <c r="S35" i="4"/>
  <c r="C123" i="1"/>
  <c r="M124"/>
  <c r="H24" i="28" l="1"/>
  <c r="R63" i="25"/>
  <c r="D99"/>
  <c r="C22" i="28" s="1"/>
  <c r="P117" i="25"/>
  <c r="R8"/>
  <c r="V8" s="1"/>
  <c r="I99"/>
  <c r="J99" s="1"/>
  <c r="G85" i="26"/>
  <c r="F21" i="28"/>
  <c r="F26" s="1"/>
  <c r="H25"/>
  <c r="B26"/>
  <c r="D30" i="25"/>
  <c r="D122" s="1"/>
  <c r="C23" i="28"/>
  <c r="G22"/>
  <c r="D26"/>
  <c r="L85" i="25"/>
  <c r="G21" i="28"/>
  <c r="F5" i="25"/>
  <c r="F122" s="1"/>
  <c r="E20" i="28"/>
  <c r="P20" i="26"/>
  <c r="C92"/>
  <c r="J85"/>
  <c r="E104"/>
  <c r="P42"/>
  <c r="T14"/>
  <c r="AA30" i="25"/>
  <c r="H122"/>
  <c r="T51"/>
  <c r="E133"/>
  <c r="G133" s="1"/>
  <c r="T14"/>
  <c r="U9"/>
  <c r="U14" s="1"/>
  <c r="F135"/>
  <c r="H135" s="1"/>
  <c r="I135" s="1"/>
  <c r="F134"/>
  <c r="E134"/>
  <c r="G134" s="1"/>
  <c r="I50"/>
  <c r="AB30" s="1"/>
  <c r="R12"/>
  <c r="V12" s="1"/>
  <c r="U31"/>
  <c r="V24"/>
  <c r="V19"/>
  <c r="C30"/>
  <c r="C122" s="1"/>
  <c r="E122"/>
  <c r="E127" s="1"/>
  <c r="T11" i="26"/>
  <c r="P60"/>
  <c r="AA49"/>
  <c r="V60"/>
  <c r="P38"/>
  <c r="T20"/>
  <c r="V84"/>
  <c r="P84"/>
  <c r="T12"/>
  <c r="S26" i="25"/>
  <c r="S31"/>
  <c r="Q9"/>
  <c r="R26"/>
  <c r="H136"/>
  <c r="I136" s="1"/>
  <c r="I84"/>
  <c r="R10"/>
  <c r="V25"/>
  <c r="Q13"/>
  <c r="D80" i="1"/>
  <c r="G128"/>
  <c r="M10" i="7"/>
  <c r="H22" i="28" l="1"/>
  <c r="C26"/>
  <c r="S6" i="25"/>
  <c r="S9" s="1"/>
  <c r="I5"/>
  <c r="I122" s="1"/>
  <c r="M141" s="1"/>
  <c r="H23" i="28"/>
  <c r="Y23" i="26"/>
  <c r="H21" i="28"/>
  <c r="G26"/>
  <c r="E26"/>
  <c r="H20"/>
  <c r="X85" i="26"/>
  <c r="J88"/>
  <c r="V93"/>
  <c r="J94"/>
  <c r="I43" i="7"/>
  <c r="H134" i="25"/>
  <c r="Q14"/>
  <c r="E132"/>
  <c r="AA50"/>
  <c r="M132"/>
  <c r="R7"/>
  <c r="R9" s="1"/>
  <c r="V26"/>
  <c r="P85" i="26"/>
  <c r="T21"/>
  <c r="R30" i="25"/>
  <c r="R31" s="1"/>
  <c r="Q32" s="1"/>
  <c r="V27"/>
  <c r="V30" s="1"/>
  <c r="V31" s="1"/>
  <c r="M133"/>
  <c r="T13" i="26"/>
  <c r="V10" i="25"/>
  <c r="AA74"/>
  <c r="AC30"/>
  <c r="R11"/>
  <c r="V11" s="1"/>
  <c r="F133"/>
  <c r="F137" s="1"/>
  <c r="V6" l="1"/>
  <c r="S14"/>
  <c r="W9"/>
  <c r="H26" i="28"/>
  <c r="T22" i="26"/>
  <c r="E137" i="25"/>
  <c r="H137" s="1"/>
  <c r="G132"/>
  <c r="M134"/>
  <c r="V7"/>
  <c r="H132"/>
  <c r="AA5"/>
  <c r="AA122" s="1"/>
  <c r="R13"/>
  <c r="H133"/>
  <c r="V9"/>
  <c r="N124" i="1"/>
  <c r="N123"/>
  <c r="O126"/>
  <c r="N126"/>
  <c r="N128"/>
  <c r="M125"/>
  <c r="V13" i="25" l="1"/>
  <c r="W13"/>
  <c r="I132"/>
  <c r="R14"/>
  <c r="W15" s="1"/>
  <c r="P130" i="1"/>
  <c r="O130"/>
  <c r="N131"/>
  <c r="N153"/>
  <c r="N133" i="25" l="1"/>
  <c r="V14"/>
  <c r="Q15"/>
  <c r="H79" i="4" l="1"/>
  <c r="L42" i="1"/>
  <c r="L20"/>
  <c r="F55"/>
  <c r="J55" s="1"/>
  <c r="C92"/>
  <c r="D116"/>
  <c r="F107"/>
  <c r="F103"/>
  <c r="B20"/>
  <c r="B35"/>
  <c r="B32"/>
  <c r="B31"/>
  <c r="R33" i="4"/>
  <c r="F47"/>
  <c r="C54" i="1"/>
  <c r="G55"/>
  <c r="N63"/>
  <c r="B92"/>
  <c r="C93"/>
  <c r="C80"/>
  <c r="D93"/>
  <c r="C107"/>
  <c r="D111"/>
  <c r="N112"/>
  <c r="E18"/>
  <c r="E13"/>
  <c r="E11"/>
  <c r="E10"/>
  <c r="E9"/>
  <c r="E6"/>
  <c r="E8"/>
  <c r="C31"/>
  <c r="D31"/>
  <c r="K56" i="23"/>
  <c r="K55"/>
  <c r="K53"/>
  <c r="K52"/>
  <c r="K51"/>
  <c r="K48"/>
  <c r="K47"/>
  <c r="K46"/>
  <c r="K45"/>
  <c r="K44"/>
  <c r="K42"/>
  <c r="K41"/>
  <c r="K40"/>
  <c r="E39"/>
  <c r="D38"/>
  <c r="D39" s="1"/>
  <c r="I37"/>
  <c r="H35"/>
  <c r="G35"/>
  <c r="F35"/>
  <c r="E35"/>
  <c r="C35"/>
  <c r="B35"/>
  <c r="I34"/>
  <c r="D33"/>
  <c r="D35" s="1"/>
  <c r="M32"/>
  <c r="H31"/>
  <c r="G31"/>
  <c r="F31"/>
  <c r="E31"/>
  <c r="D31"/>
  <c r="C31"/>
  <c r="B31"/>
  <c r="I29"/>
  <c r="L16" s="1"/>
  <c r="N16" s="1"/>
  <c r="H27"/>
  <c r="G27"/>
  <c r="F27"/>
  <c r="E27"/>
  <c r="D27"/>
  <c r="C27"/>
  <c r="B27"/>
  <c r="N26"/>
  <c r="K25"/>
  <c r="I25"/>
  <c r="K24"/>
  <c r="H23"/>
  <c r="G23"/>
  <c r="F23"/>
  <c r="E23"/>
  <c r="D23"/>
  <c r="C23"/>
  <c r="B23"/>
  <c r="I22"/>
  <c r="I21"/>
  <c r="R21" s="1"/>
  <c r="I20"/>
  <c r="R20" s="1"/>
  <c r="I19"/>
  <c r="R19" s="1"/>
  <c r="H17"/>
  <c r="G17"/>
  <c r="F17"/>
  <c r="E17"/>
  <c r="C17"/>
  <c r="B17"/>
  <c r="I16"/>
  <c r="Q15"/>
  <c r="N15"/>
  <c r="I15"/>
  <c r="Q14"/>
  <c r="N14"/>
  <c r="I14"/>
  <c r="D13"/>
  <c r="D17" s="1"/>
  <c r="H12"/>
  <c r="G12"/>
  <c r="C12"/>
  <c r="B12"/>
  <c r="I11"/>
  <c r="I10"/>
  <c r="M9"/>
  <c r="I9"/>
  <c r="F8"/>
  <c r="F12" s="1"/>
  <c r="F40" s="1"/>
  <c r="E8"/>
  <c r="E12" s="1"/>
  <c r="D8"/>
  <c r="D7"/>
  <c r="I7" s="1"/>
  <c r="B91" i="22"/>
  <c r="U89"/>
  <c r="Q84"/>
  <c r="N82"/>
  <c r="M82"/>
  <c r="L82"/>
  <c r="K82"/>
  <c r="J82"/>
  <c r="C82"/>
  <c r="O81"/>
  <c r="I80"/>
  <c r="O80" s="1"/>
  <c r="H82"/>
  <c r="G79"/>
  <c r="F79"/>
  <c r="V78"/>
  <c r="I78"/>
  <c r="O78" s="1"/>
  <c r="I77"/>
  <c r="O77" s="1"/>
  <c r="I76"/>
  <c r="O76" s="1"/>
  <c r="I75"/>
  <c r="O75" s="1"/>
  <c r="I74"/>
  <c r="O74" s="1"/>
  <c r="I73"/>
  <c r="O73" s="1"/>
  <c r="I72"/>
  <c r="O72" s="1"/>
  <c r="I71"/>
  <c r="O71" s="1"/>
  <c r="I70"/>
  <c r="O70" s="1"/>
  <c r="G69"/>
  <c r="F69"/>
  <c r="E69"/>
  <c r="F68"/>
  <c r="I68" s="1"/>
  <c r="I67"/>
  <c r="O67" s="1"/>
  <c r="I66"/>
  <c r="U79" s="1"/>
  <c r="X65"/>
  <c r="I65"/>
  <c r="O65" s="1"/>
  <c r="I64"/>
  <c r="I63"/>
  <c r="O63" s="1"/>
  <c r="B63"/>
  <c r="B82" s="1"/>
  <c r="O62"/>
  <c r="O61"/>
  <c r="G60"/>
  <c r="F60"/>
  <c r="E60"/>
  <c r="E82" s="1"/>
  <c r="D60"/>
  <c r="O59"/>
  <c r="P58"/>
  <c r="N58"/>
  <c r="M58"/>
  <c r="L58"/>
  <c r="K58"/>
  <c r="J58"/>
  <c r="H58"/>
  <c r="G58"/>
  <c r="Q58" s="1"/>
  <c r="E58"/>
  <c r="D58"/>
  <c r="C58"/>
  <c r="B58"/>
  <c r="F57"/>
  <c r="I57" s="1"/>
  <c r="O57" s="1"/>
  <c r="I56"/>
  <c r="Y47" s="1"/>
  <c r="I55"/>
  <c r="O55" s="1"/>
  <c r="I54"/>
  <c r="O54" s="1"/>
  <c r="I53"/>
  <c r="O53" s="1"/>
  <c r="I52"/>
  <c r="X47" s="1"/>
  <c r="I51"/>
  <c r="O51" s="1"/>
  <c r="I50"/>
  <c r="O50" s="1"/>
  <c r="I49"/>
  <c r="O49" s="1"/>
  <c r="O48"/>
  <c r="F47"/>
  <c r="I47" s="1"/>
  <c r="O46"/>
  <c r="O45"/>
  <c r="N44"/>
  <c r="M44"/>
  <c r="L44"/>
  <c r="K44"/>
  <c r="J44"/>
  <c r="H44"/>
  <c r="G44"/>
  <c r="Q44" s="1"/>
  <c r="F44"/>
  <c r="E44"/>
  <c r="D44"/>
  <c r="C44"/>
  <c r="B44"/>
  <c r="O42"/>
  <c r="I42"/>
  <c r="I44" s="1"/>
  <c r="O41"/>
  <c r="N40"/>
  <c r="M40"/>
  <c r="L40"/>
  <c r="K40"/>
  <c r="J40"/>
  <c r="H40"/>
  <c r="G40"/>
  <c r="Q40" s="1"/>
  <c r="F40"/>
  <c r="E40"/>
  <c r="D40"/>
  <c r="C40"/>
  <c r="B40"/>
  <c r="I39"/>
  <c r="O38"/>
  <c r="I38"/>
  <c r="O37"/>
  <c r="P36"/>
  <c r="N36"/>
  <c r="M36"/>
  <c r="L36"/>
  <c r="K36"/>
  <c r="J36"/>
  <c r="H36"/>
  <c r="G36"/>
  <c r="Q36" s="1"/>
  <c r="F36"/>
  <c r="E36"/>
  <c r="V36" s="1"/>
  <c r="D36"/>
  <c r="C36"/>
  <c r="B36"/>
  <c r="O35"/>
  <c r="I35"/>
  <c r="I34"/>
  <c r="O34" s="1"/>
  <c r="I33"/>
  <c r="O33" s="1"/>
  <c r="O32"/>
  <c r="I32"/>
  <c r="V31"/>
  <c r="X31" s="1"/>
  <c r="I31"/>
  <c r="O31" s="1"/>
  <c r="I30"/>
  <c r="O30" s="1"/>
  <c r="I29"/>
  <c r="O29" s="1"/>
  <c r="I28"/>
  <c r="O28" s="1"/>
  <c r="I27"/>
  <c r="I26"/>
  <c r="I25"/>
  <c r="O25" s="1"/>
  <c r="W24"/>
  <c r="Y24" s="1"/>
  <c r="AA24" s="1"/>
  <c r="I24"/>
  <c r="O24" s="1"/>
  <c r="I23"/>
  <c r="O23" s="1"/>
  <c r="I22"/>
  <c r="V21"/>
  <c r="T21"/>
  <c r="P21"/>
  <c r="U20"/>
  <c r="P20"/>
  <c r="N20"/>
  <c r="M20"/>
  <c r="L20"/>
  <c r="K20"/>
  <c r="J20"/>
  <c r="H20"/>
  <c r="G20"/>
  <c r="C20"/>
  <c r="Z19"/>
  <c r="F19"/>
  <c r="F20" s="1"/>
  <c r="W18"/>
  <c r="O18"/>
  <c r="W17"/>
  <c r="O17"/>
  <c r="W16"/>
  <c r="O16"/>
  <c r="W15"/>
  <c r="O15"/>
  <c r="U14"/>
  <c r="U21" s="1"/>
  <c r="I14"/>
  <c r="O14" s="1"/>
  <c r="I13"/>
  <c r="O13" s="1"/>
  <c r="V12"/>
  <c r="U12"/>
  <c r="I12"/>
  <c r="O12" s="1"/>
  <c r="E11"/>
  <c r="I11" s="1"/>
  <c r="O11" s="1"/>
  <c r="V10"/>
  <c r="U10"/>
  <c r="I10"/>
  <c r="O10" s="1"/>
  <c r="I9"/>
  <c r="O9" s="1"/>
  <c r="E8"/>
  <c r="I8" s="1"/>
  <c r="O8" s="1"/>
  <c r="D7"/>
  <c r="I7" s="1"/>
  <c r="O7" s="1"/>
  <c r="E6"/>
  <c r="D6"/>
  <c r="B6"/>
  <c r="B20" s="1"/>
  <c r="K150" i="21"/>
  <c r="K153" s="1"/>
  <c r="L145"/>
  <c r="G138"/>
  <c r="F137"/>
  <c r="F138" s="1"/>
  <c r="E137"/>
  <c r="E138" s="1"/>
  <c r="D137"/>
  <c r="D136"/>
  <c r="K135"/>
  <c r="F134"/>
  <c r="E134"/>
  <c r="D134"/>
  <c r="C134"/>
  <c r="B134"/>
  <c r="G132"/>
  <c r="G134" s="1"/>
  <c r="Y130"/>
  <c r="W130"/>
  <c r="V130"/>
  <c r="U130"/>
  <c r="F130"/>
  <c r="E130"/>
  <c r="D130"/>
  <c r="B130"/>
  <c r="M24" s="1"/>
  <c r="J129"/>
  <c r="G129"/>
  <c r="J128"/>
  <c r="G128"/>
  <c r="J127"/>
  <c r="G127"/>
  <c r="C126"/>
  <c r="C130" s="1"/>
  <c r="J125"/>
  <c r="G125"/>
  <c r="Y124"/>
  <c r="X124"/>
  <c r="W124"/>
  <c r="V124"/>
  <c r="U124"/>
  <c r="B124"/>
  <c r="N24" s="1"/>
  <c r="J123"/>
  <c r="G123"/>
  <c r="K121"/>
  <c r="J121"/>
  <c r="G121"/>
  <c r="J120"/>
  <c r="G120"/>
  <c r="J119"/>
  <c r="G119"/>
  <c r="J118"/>
  <c r="G118"/>
  <c r="E117"/>
  <c r="G117" s="1"/>
  <c r="J116"/>
  <c r="G116"/>
  <c r="F115"/>
  <c r="F124" s="1"/>
  <c r="F112" s="1"/>
  <c r="E115"/>
  <c r="E124" s="1"/>
  <c r="D115"/>
  <c r="D124" s="1"/>
  <c r="C115"/>
  <c r="J114"/>
  <c r="G114"/>
  <c r="J113"/>
  <c r="G113"/>
  <c r="K112"/>
  <c r="Y111"/>
  <c r="X111"/>
  <c r="W111"/>
  <c r="V111"/>
  <c r="U111"/>
  <c r="F111"/>
  <c r="E111"/>
  <c r="B111"/>
  <c r="J110"/>
  <c r="G110"/>
  <c r="J109"/>
  <c r="G109"/>
  <c r="J108"/>
  <c r="G108"/>
  <c r="J107"/>
  <c r="G107"/>
  <c r="J106"/>
  <c r="G106"/>
  <c r="J105"/>
  <c r="G105"/>
  <c r="D104"/>
  <c r="C104"/>
  <c r="C98" s="1"/>
  <c r="J103"/>
  <c r="G103"/>
  <c r="J102"/>
  <c r="G102"/>
  <c r="D101"/>
  <c r="C101"/>
  <c r="J100"/>
  <c r="G100"/>
  <c r="J99"/>
  <c r="G99"/>
  <c r="Y98"/>
  <c r="X98"/>
  <c r="W98"/>
  <c r="V98"/>
  <c r="U98"/>
  <c r="F98"/>
  <c r="E98"/>
  <c r="B98"/>
  <c r="J96"/>
  <c r="J95"/>
  <c r="J94"/>
  <c r="G94"/>
  <c r="J93"/>
  <c r="G93"/>
  <c r="J92"/>
  <c r="G92"/>
  <c r="D91"/>
  <c r="C91"/>
  <c r="J90"/>
  <c r="G90"/>
  <c r="J89"/>
  <c r="G89"/>
  <c r="J88"/>
  <c r="G88"/>
  <c r="J87"/>
  <c r="G87"/>
  <c r="J86"/>
  <c r="J85"/>
  <c r="J84"/>
  <c r="J83"/>
  <c r="J82"/>
  <c r="J81"/>
  <c r="J80"/>
  <c r="F79"/>
  <c r="F97" s="1"/>
  <c r="E79"/>
  <c r="E97" s="1"/>
  <c r="D79"/>
  <c r="C79"/>
  <c r="K78"/>
  <c r="E78"/>
  <c r="B78"/>
  <c r="F77"/>
  <c r="E77"/>
  <c r="D77"/>
  <c r="C77"/>
  <c r="B77"/>
  <c r="B51" s="1"/>
  <c r="G75"/>
  <c r="G77" s="1"/>
  <c r="P12" s="1"/>
  <c r="Y73"/>
  <c r="X73"/>
  <c r="W73"/>
  <c r="V73"/>
  <c r="U73"/>
  <c r="F73"/>
  <c r="E73"/>
  <c r="D73"/>
  <c r="C73"/>
  <c r="B73"/>
  <c r="J72"/>
  <c r="G72"/>
  <c r="J71"/>
  <c r="G71"/>
  <c r="J70"/>
  <c r="G70"/>
  <c r="J69"/>
  <c r="G69"/>
  <c r="J68"/>
  <c r="G68"/>
  <c r="J67"/>
  <c r="G67"/>
  <c r="J66"/>
  <c r="G66"/>
  <c r="J65"/>
  <c r="G65"/>
  <c r="J64"/>
  <c r="G64"/>
  <c r="J63"/>
  <c r="G63"/>
  <c r="Y62"/>
  <c r="X62"/>
  <c r="W62"/>
  <c r="V62"/>
  <c r="U62"/>
  <c r="B62"/>
  <c r="J61"/>
  <c r="G61"/>
  <c r="E60"/>
  <c r="J60" s="1"/>
  <c r="J59"/>
  <c r="G59"/>
  <c r="J58"/>
  <c r="G58"/>
  <c r="J57"/>
  <c r="G57"/>
  <c r="J56"/>
  <c r="G56"/>
  <c r="J55"/>
  <c r="G55"/>
  <c r="F54"/>
  <c r="F62" s="1"/>
  <c r="E54"/>
  <c r="D54"/>
  <c r="D62" s="1"/>
  <c r="C54"/>
  <c r="J53"/>
  <c r="G53"/>
  <c r="O52"/>
  <c r="P52" s="1"/>
  <c r="J52"/>
  <c r="G52"/>
  <c r="Z51"/>
  <c r="O51"/>
  <c r="M51"/>
  <c r="P50"/>
  <c r="F50"/>
  <c r="E50"/>
  <c r="D50"/>
  <c r="C50"/>
  <c r="B50"/>
  <c r="O49"/>
  <c r="N49"/>
  <c r="M49"/>
  <c r="P49" s="1"/>
  <c r="G49"/>
  <c r="G50" s="1"/>
  <c r="O48"/>
  <c r="P48" s="1"/>
  <c r="X47"/>
  <c r="W47"/>
  <c r="U47"/>
  <c r="O47"/>
  <c r="P47" s="1"/>
  <c r="F47"/>
  <c r="E47"/>
  <c r="D47"/>
  <c r="C47"/>
  <c r="B47"/>
  <c r="G46"/>
  <c r="G45"/>
  <c r="G44"/>
  <c r="Y42"/>
  <c r="X42"/>
  <c r="W42"/>
  <c r="V42"/>
  <c r="U42"/>
  <c r="B42"/>
  <c r="N27" s="1"/>
  <c r="J41"/>
  <c r="G41"/>
  <c r="D40"/>
  <c r="C40"/>
  <c r="F39"/>
  <c r="E39"/>
  <c r="J38"/>
  <c r="G38"/>
  <c r="J37"/>
  <c r="G37"/>
  <c r="J36"/>
  <c r="G36"/>
  <c r="F35"/>
  <c r="G35" s="1"/>
  <c r="J34"/>
  <c r="G34"/>
  <c r="J33"/>
  <c r="G33"/>
  <c r="F32"/>
  <c r="E32"/>
  <c r="E42" s="1"/>
  <c r="E30" s="1"/>
  <c r="D32"/>
  <c r="C32"/>
  <c r="F31"/>
  <c r="C31"/>
  <c r="G31" s="1"/>
  <c r="O30"/>
  <c r="H30"/>
  <c r="W29"/>
  <c r="V29"/>
  <c r="U29"/>
  <c r="N29"/>
  <c r="M29"/>
  <c r="M30" s="1"/>
  <c r="F29"/>
  <c r="E29"/>
  <c r="D29"/>
  <c r="D142" s="1"/>
  <c r="C29"/>
  <c r="B29"/>
  <c r="Q19" s="1"/>
  <c r="Q25" s="1"/>
  <c r="Y28"/>
  <c r="N28"/>
  <c r="R28" s="1"/>
  <c r="G28"/>
  <c r="Y27"/>
  <c r="Q27"/>
  <c r="Q30" s="1"/>
  <c r="P27"/>
  <c r="P30" s="1"/>
  <c r="G27"/>
  <c r="Y26"/>
  <c r="G26"/>
  <c r="Y25"/>
  <c r="P25"/>
  <c r="P26" s="1"/>
  <c r="G25"/>
  <c r="R23"/>
  <c r="G23"/>
  <c r="F23"/>
  <c r="E23"/>
  <c r="E141" s="1"/>
  <c r="D23"/>
  <c r="D141" s="1"/>
  <c r="R22"/>
  <c r="R21"/>
  <c r="Y20"/>
  <c r="X20"/>
  <c r="W20"/>
  <c r="V20"/>
  <c r="U20"/>
  <c r="N20"/>
  <c r="R20" s="1"/>
  <c r="K20"/>
  <c r="F20"/>
  <c r="D20"/>
  <c r="D5" s="1"/>
  <c r="C20"/>
  <c r="B20"/>
  <c r="B5" s="1"/>
  <c r="J19"/>
  <c r="G19"/>
  <c r="J18"/>
  <c r="G18"/>
  <c r="J17"/>
  <c r="G17"/>
  <c r="J16"/>
  <c r="G16"/>
  <c r="J15"/>
  <c r="G15"/>
  <c r="J14"/>
  <c r="G14"/>
  <c r="O13"/>
  <c r="E13"/>
  <c r="J13" s="1"/>
  <c r="J12"/>
  <c r="G12"/>
  <c r="J11"/>
  <c r="G11"/>
  <c r="J10"/>
  <c r="G10"/>
  <c r="E9"/>
  <c r="G9" s="1"/>
  <c r="J8"/>
  <c r="G8"/>
  <c r="J7"/>
  <c r="G7"/>
  <c r="J6"/>
  <c r="G6"/>
  <c r="O19" l="1"/>
  <c r="O25" s="1"/>
  <c r="B30"/>
  <c r="P51"/>
  <c r="G91"/>
  <c r="I79" i="22"/>
  <c r="O79" s="1"/>
  <c r="C5" i="21"/>
  <c r="F51"/>
  <c r="E112"/>
  <c r="J83" i="22"/>
  <c r="N83"/>
  <c r="I40"/>
  <c r="O40" s="1"/>
  <c r="M58" i="21"/>
  <c r="C111"/>
  <c r="C83" i="22"/>
  <c r="G82"/>
  <c r="Q82" s="1"/>
  <c r="Q83" s="1"/>
  <c r="I8" i="23"/>
  <c r="F141" i="21"/>
  <c r="Q31"/>
  <c r="F5"/>
  <c r="D51"/>
  <c r="G73"/>
  <c r="J101"/>
  <c r="J117"/>
  <c r="I6" i="22"/>
  <c r="O52"/>
  <c r="C40" i="23"/>
  <c r="I27"/>
  <c r="L8" s="1"/>
  <c r="N8" s="1"/>
  <c r="K57"/>
  <c r="C42" i="21"/>
  <c r="C30" s="1"/>
  <c r="J35"/>
  <c r="G79"/>
  <c r="D78"/>
  <c r="L83" i="22"/>
  <c r="O56"/>
  <c r="E40" i="23"/>
  <c r="K26"/>
  <c r="N30" i="21"/>
  <c r="D138"/>
  <c r="U13" i="22"/>
  <c r="U22" s="1"/>
  <c r="F82"/>
  <c r="G40" i="23"/>
  <c r="P53" i="21"/>
  <c r="O44" i="22"/>
  <c r="S19"/>
  <c r="W19" s="1"/>
  <c r="E147" i="21"/>
  <c r="M12"/>
  <c r="M13" s="1"/>
  <c r="R24"/>
  <c r="C78"/>
  <c r="B112"/>
  <c r="B135" s="1"/>
  <c r="E20"/>
  <c r="E5" s="1"/>
  <c r="G32"/>
  <c r="J39"/>
  <c r="E62"/>
  <c r="E51" s="1"/>
  <c r="E135" s="1"/>
  <c r="D97"/>
  <c r="J104"/>
  <c r="G115"/>
  <c r="E20" i="22"/>
  <c r="E83" s="1"/>
  <c r="V83" s="1"/>
  <c r="D20"/>
  <c r="K83"/>
  <c r="B102"/>
  <c r="I60"/>
  <c r="V82" s="1"/>
  <c r="I69"/>
  <c r="O69" s="1"/>
  <c r="U78"/>
  <c r="R14" i="23"/>
  <c r="I38"/>
  <c r="G29" i="21"/>
  <c r="D42"/>
  <c r="D30" s="1"/>
  <c r="G47"/>
  <c r="E148" s="1"/>
  <c r="D112"/>
  <c r="I36" i="22"/>
  <c r="F58"/>
  <c r="B90" s="1"/>
  <c r="J12" i="23"/>
  <c r="H40"/>
  <c r="I31"/>
  <c r="Y29" i="21"/>
  <c r="F42"/>
  <c r="F30" s="1"/>
  <c r="J40"/>
  <c r="G54"/>
  <c r="G60"/>
  <c r="J91"/>
  <c r="G101"/>
  <c r="V13" i="22"/>
  <c r="V22" s="1"/>
  <c r="M83"/>
  <c r="I13" i="23"/>
  <c r="I17" s="1"/>
  <c r="Q40"/>
  <c r="D12"/>
  <c r="D40" s="1"/>
  <c r="L13"/>
  <c r="L17" s="1"/>
  <c r="F43" s="1"/>
  <c r="R15"/>
  <c r="I39"/>
  <c r="M13"/>
  <c r="M17" s="1"/>
  <c r="F44" s="1"/>
  <c r="I23"/>
  <c r="B40"/>
  <c r="I12"/>
  <c r="L7" s="1"/>
  <c r="R16"/>
  <c r="I35"/>
  <c r="L33"/>
  <c r="D42"/>
  <c r="I33"/>
  <c r="H83" i="22"/>
  <c r="R20"/>
  <c r="R21" s="1"/>
  <c r="O6"/>
  <c r="B89"/>
  <c r="F83"/>
  <c r="I82"/>
  <c r="B83"/>
  <c r="O36"/>
  <c r="O68"/>
  <c r="R12"/>
  <c r="I58"/>
  <c r="O47"/>
  <c r="I19"/>
  <c r="I20" s="1"/>
  <c r="O22"/>
  <c r="O39"/>
  <c r="O64"/>
  <c r="D82"/>
  <c r="D83" s="1"/>
  <c r="O66"/>
  <c r="Q6" i="21"/>
  <c r="Q9" s="1"/>
  <c r="D149"/>
  <c r="P10"/>
  <c r="P13" s="1"/>
  <c r="O26"/>
  <c r="O31"/>
  <c r="Q10"/>
  <c r="Q13" s="1"/>
  <c r="E149"/>
  <c r="G78"/>
  <c r="G97"/>
  <c r="G62"/>
  <c r="J97"/>
  <c r="D148"/>
  <c r="P8"/>
  <c r="P9" s="1"/>
  <c r="Q26"/>
  <c r="J9"/>
  <c r="G13"/>
  <c r="G20" s="1"/>
  <c r="N25"/>
  <c r="N31" s="1"/>
  <c r="R29"/>
  <c r="J31"/>
  <c r="P31"/>
  <c r="J32"/>
  <c r="G39"/>
  <c r="G40"/>
  <c r="C62"/>
  <c r="C51" s="1"/>
  <c r="F78"/>
  <c r="D98"/>
  <c r="G104"/>
  <c r="G111" s="1"/>
  <c r="D111"/>
  <c r="G126"/>
  <c r="G130" s="1"/>
  <c r="R27"/>
  <c r="R30" s="1"/>
  <c r="J54"/>
  <c r="J115"/>
  <c r="M25"/>
  <c r="M26" s="1"/>
  <c r="R19"/>
  <c r="J79"/>
  <c r="C122"/>
  <c r="J126"/>
  <c r="D135" l="1"/>
  <c r="D140" s="1"/>
  <c r="G42"/>
  <c r="O60" i="22"/>
  <c r="G83"/>
  <c r="S14"/>
  <c r="C102"/>
  <c r="D102" s="1"/>
  <c r="U63"/>
  <c r="V79"/>
  <c r="F148" i="21"/>
  <c r="V58" i="22"/>
  <c r="S20"/>
  <c r="W20" s="1"/>
  <c r="S7" i="23"/>
  <c r="M26"/>
  <c r="O26" s="1"/>
  <c r="F135" i="21"/>
  <c r="N26"/>
  <c r="R26" s="1"/>
  <c r="F86" i="22"/>
  <c r="V63"/>
  <c r="P12" i="23"/>
  <c r="J98" i="21"/>
  <c r="M25" i="23"/>
  <c r="M27" s="1"/>
  <c r="M29" s="1"/>
  <c r="R29" s="1"/>
  <c r="I40"/>
  <c r="J42" s="1"/>
  <c r="P14" i="21"/>
  <c r="N13" i="23"/>
  <c r="N17" s="1"/>
  <c r="T19"/>
  <c r="M7"/>
  <c r="M10" s="1"/>
  <c r="L31" s="1"/>
  <c r="D44"/>
  <c r="M18"/>
  <c r="E42"/>
  <c r="G42" s="1"/>
  <c r="R40"/>
  <c r="L9"/>
  <c r="N9" s="1"/>
  <c r="R33"/>
  <c r="T10" i="22"/>
  <c r="T13" s="1"/>
  <c r="T22" s="1"/>
  <c r="I83"/>
  <c r="O20"/>
  <c r="U58"/>
  <c r="W47"/>
  <c r="Z47" s="1"/>
  <c r="O58"/>
  <c r="S11"/>
  <c r="U82"/>
  <c r="S12"/>
  <c r="O82"/>
  <c r="O19"/>
  <c r="R10"/>
  <c r="S21"/>
  <c r="W14"/>
  <c r="W12"/>
  <c r="N10" i="21"/>
  <c r="G30"/>
  <c r="W30" s="1"/>
  <c r="E146"/>
  <c r="E150" s="1"/>
  <c r="N7"/>
  <c r="O6"/>
  <c r="G5"/>
  <c r="D145"/>
  <c r="D147"/>
  <c r="F147" s="1"/>
  <c r="M8"/>
  <c r="G148"/>
  <c r="G51"/>
  <c r="N12"/>
  <c r="R12" s="1"/>
  <c r="C124"/>
  <c r="C112" s="1"/>
  <c r="C135" s="1"/>
  <c r="G122"/>
  <c r="G124" s="1"/>
  <c r="D146" s="1"/>
  <c r="F146" s="1"/>
  <c r="J122"/>
  <c r="M31"/>
  <c r="R25"/>
  <c r="R31" s="1"/>
  <c r="Q14"/>
  <c r="W78"/>
  <c r="Y30"/>
  <c r="N11"/>
  <c r="R11" s="1"/>
  <c r="G98"/>
  <c r="F149"/>
  <c r="G149" s="1"/>
  <c r="W21" i="22" l="1"/>
  <c r="R13" i="23"/>
  <c r="N7"/>
  <c r="N10" s="1"/>
  <c r="N18" s="1"/>
  <c r="E44"/>
  <c r="G44" s="1"/>
  <c r="D43"/>
  <c r="D45" s="1"/>
  <c r="K145" i="21"/>
  <c r="L10" i="23"/>
  <c r="E43" s="1"/>
  <c r="G43" s="1"/>
  <c r="G45" s="1"/>
  <c r="U91" i="22"/>
  <c r="I92"/>
  <c r="W83"/>
  <c r="W11"/>
  <c r="S13"/>
  <c r="S22" s="1"/>
  <c r="R13"/>
  <c r="R22" s="1"/>
  <c r="W10"/>
  <c r="O83"/>
  <c r="N8" i="21"/>
  <c r="N9" s="1"/>
  <c r="G112"/>
  <c r="H112" s="1"/>
  <c r="R7"/>
  <c r="R10"/>
  <c r="N13"/>
  <c r="R13" s="1"/>
  <c r="K146"/>
  <c r="D150"/>
  <c r="F150" s="1"/>
  <c r="F145"/>
  <c r="G145" s="1"/>
  <c r="W51"/>
  <c r="X30"/>
  <c r="O9"/>
  <c r="O14" s="1"/>
  <c r="R6"/>
  <c r="M9"/>
  <c r="W5"/>
  <c r="L18" i="23" l="1"/>
  <c r="L32"/>
  <c r="L34" s="1"/>
  <c r="R10"/>
  <c r="K147" i="21"/>
  <c r="W135"/>
  <c r="T31" i="22"/>
  <c r="T33" s="1"/>
  <c r="G135" i="21"/>
  <c r="K154" s="1"/>
  <c r="N14"/>
  <c r="R8"/>
  <c r="W13" i="22"/>
  <c r="R23"/>
  <c r="M14" i="21"/>
  <c r="R9"/>
  <c r="Y13" i="22" l="1"/>
  <c r="W22"/>
  <c r="S15" i="21"/>
  <c r="R14"/>
  <c r="O14" i="7" l="1"/>
  <c r="E20" i="4"/>
  <c r="Z26" i="1"/>
  <c r="G26"/>
  <c r="G91" l="1"/>
  <c r="G90"/>
  <c r="G89"/>
  <c r="G88"/>
  <c r="G80"/>
  <c r="F79"/>
  <c r="E79"/>
  <c r="D79"/>
  <c r="C79"/>
  <c r="B79"/>
  <c r="O28" s="1"/>
  <c r="F74"/>
  <c r="E74"/>
  <c r="D74"/>
  <c r="C74"/>
  <c r="B74"/>
  <c r="N29" s="1"/>
  <c r="G72"/>
  <c r="G69"/>
  <c r="G68"/>
  <c r="G67"/>
  <c r="G66"/>
  <c r="B99"/>
  <c r="I11" i="20"/>
  <c r="J10" s="1"/>
  <c r="I10"/>
  <c r="I9"/>
  <c r="J9" s="1"/>
  <c r="I8"/>
  <c r="J8" s="1"/>
  <c r="I7"/>
  <c r="J6" s="1"/>
  <c r="I6"/>
  <c r="I5"/>
  <c r="J5" s="1"/>
  <c r="I4"/>
  <c r="J4" s="1"/>
  <c r="H15"/>
  <c r="H12"/>
  <c r="G12"/>
  <c r="F12"/>
  <c r="E12"/>
  <c r="D12"/>
  <c r="C12"/>
  <c r="B12"/>
  <c r="K136" i="1"/>
  <c r="K154"/>
  <c r="K151"/>
  <c r="J124"/>
  <c r="J121"/>
  <c r="J130"/>
  <c r="J129"/>
  <c r="J128"/>
  <c r="J127"/>
  <c r="J126"/>
  <c r="J123"/>
  <c r="J122"/>
  <c r="J120"/>
  <c r="J119"/>
  <c r="J117"/>
  <c r="J116"/>
  <c r="J115"/>
  <c r="J114"/>
  <c r="J111"/>
  <c r="J110"/>
  <c r="J109"/>
  <c r="J108"/>
  <c r="J107"/>
  <c r="J106"/>
  <c r="J105"/>
  <c r="J104"/>
  <c r="J103"/>
  <c r="J102"/>
  <c r="J101"/>
  <c r="J100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3"/>
  <c r="J72"/>
  <c r="J71"/>
  <c r="J70"/>
  <c r="J69"/>
  <c r="J68"/>
  <c r="J67"/>
  <c r="J66"/>
  <c r="J65"/>
  <c r="J64"/>
  <c r="J62"/>
  <c r="J60"/>
  <c r="J59"/>
  <c r="J58"/>
  <c r="J57"/>
  <c r="J56"/>
  <c r="J54"/>
  <c r="J53"/>
  <c r="J52"/>
  <c r="J19"/>
  <c r="J18"/>
  <c r="J17"/>
  <c r="J16"/>
  <c r="J15"/>
  <c r="J14"/>
  <c r="J12"/>
  <c r="J10"/>
  <c r="J8"/>
  <c r="J7"/>
  <c r="J6"/>
  <c r="J41"/>
  <c r="J40"/>
  <c r="J39"/>
  <c r="J38"/>
  <c r="J37"/>
  <c r="J36"/>
  <c r="J34"/>
  <c r="J33"/>
  <c r="J32"/>
  <c r="J31"/>
  <c r="J35"/>
  <c r="G109"/>
  <c r="H13" i="20" l="1"/>
  <c r="J12"/>
  <c r="H82" i="4"/>
  <c r="I79"/>
  <c r="I78"/>
  <c r="I69"/>
  <c r="I68"/>
  <c r="I66"/>
  <c r="I64"/>
  <c r="I63"/>
  <c r="I60"/>
  <c r="H58"/>
  <c r="I57"/>
  <c r="I56"/>
  <c r="I52"/>
  <c r="I51"/>
  <c r="I50"/>
  <c r="I49"/>
  <c r="I47"/>
  <c r="H44"/>
  <c r="I42"/>
  <c r="H40"/>
  <c r="I39"/>
  <c r="I38"/>
  <c r="H36"/>
  <c r="I35"/>
  <c r="I34"/>
  <c r="I33"/>
  <c r="O33" s="1"/>
  <c r="I32"/>
  <c r="I31"/>
  <c r="I30"/>
  <c r="I29"/>
  <c r="I28"/>
  <c r="I27"/>
  <c r="I26"/>
  <c r="I25"/>
  <c r="I24"/>
  <c r="I23"/>
  <c r="I22"/>
  <c r="H20"/>
  <c r="I14"/>
  <c r="I13"/>
  <c r="I12"/>
  <c r="I11"/>
  <c r="I10"/>
  <c r="I9"/>
  <c r="I8"/>
  <c r="I7"/>
  <c r="I6"/>
  <c r="B135" i="1"/>
  <c r="G133"/>
  <c r="B131"/>
  <c r="N24" s="1"/>
  <c r="G130"/>
  <c r="G126"/>
  <c r="B125"/>
  <c r="G122"/>
  <c r="G120"/>
  <c r="G115"/>
  <c r="G114"/>
  <c r="B112"/>
  <c r="O20" s="1"/>
  <c r="G100"/>
  <c r="G108"/>
  <c r="G107"/>
  <c r="G106"/>
  <c r="G104"/>
  <c r="G103"/>
  <c r="G92"/>
  <c r="G95"/>
  <c r="G94"/>
  <c r="B78"/>
  <c r="G76"/>
  <c r="G73"/>
  <c r="G71"/>
  <c r="G70"/>
  <c r="G65"/>
  <c r="G64"/>
  <c r="B63"/>
  <c r="G60"/>
  <c r="G59"/>
  <c r="G58"/>
  <c r="G57"/>
  <c r="G56"/>
  <c r="B50"/>
  <c r="R27" s="1"/>
  <c r="G49"/>
  <c r="B47"/>
  <c r="Q27" s="1"/>
  <c r="G46"/>
  <c r="G45"/>
  <c r="G44"/>
  <c r="B42"/>
  <c r="G41"/>
  <c r="G38"/>
  <c r="G37"/>
  <c r="G36"/>
  <c r="G34"/>
  <c r="G33"/>
  <c r="B29"/>
  <c r="R19" s="1"/>
  <c r="G28"/>
  <c r="G27"/>
  <c r="G25"/>
  <c r="G19"/>
  <c r="G17"/>
  <c r="G16"/>
  <c r="G12"/>
  <c r="G8"/>
  <c r="D24" i="7"/>
  <c r="H19"/>
  <c r="G19"/>
  <c r="F19"/>
  <c r="E19"/>
  <c r="D19"/>
  <c r="H13"/>
  <c r="G13"/>
  <c r="F13"/>
  <c r="E13"/>
  <c r="D13"/>
  <c r="I38"/>
  <c r="V12" i="26"/>
  <c r="D28" i="7"/>
  <c r="C33" i="28" s="1"/>
  <c r="D32" i="7"/>
  <c r="E32"/>
  <c r="F32"/>
  <c r="D36"/>
  <c r="C34" i="28" s="1"/>
  <c r="W24" i="4"/>
  <c r="Y24" s="1"/>
  <c r="AA24" s="1"/>
  <c r="Z19"/>
  <c r="G62" i="1"/>
  <c r="G54"/>
  <c r="G53"/>
  <c r="G52"/>
  <c r="K113"/>
  <c r="G124"/>
  <c r="G116"/>
  <c r="G117"/>
  <c r="K122"/>
  <c r="G110"/>
  <c r="G101"/>
  <c r="G6"/>
  <c r="G32"/>
  <c r="G40"/>
  <c r="G31"/>
  <c r="G39"/>
  <c r="G123"/>
  <c r="G121"/>
  <c r="J118"/>
  <c r="G119"/>
  <c r="G105"/>
  <c r="G102"/>
  <c r="G111"/>
  <c r="F112"/>
  <c r="F99"/>
  <c r="K79"/>
  <c r="G93"/>
  <c r="K20"/>
  <c r="G18"/>
  <c r="G15"/>
  <c r="J13"/>
  <c r="G7"/>
  <c r="Q50"/>
  <c r="P52"/>
  <c r="Q52" s="1"/>
  <c r="P51"/>
  <c r="N51"/>
  <c r="P49"/>
  <c r="O49"/>
  <c r="N49"/>
  <c r="P48"/>
  <c r="Q48" s="1"/>
  <c r="P47"/>
  <c r="Q47" s="1"/>
  <c r="Q10" i="18"/>
  <c r="Q11" s="1"/>
  <c r="R10"/>
  <c r="R11" s="1"/>
  <c r="Q14"/>
  <c r="R14"/>
  <c r="V14" s="1"/>
  <c r="S8"/>
  <c r="S11" s="1"/>
  <c r="U29"/>
  <c r="T29"/>
  <c r="S29"/>
  <c r="Q28"/>
  <c r="Q29" s="1"/>
  <c r="V27"/>
  <c r="V26"/>
  <c r="U25"/>
  <c r="T25"/>
  <c r="S25"/>
  <c r="R25"/>
  <c r="Q25"/>
  <c r="Q30" s="1"/>
  <c r="V24"/>
  <c r="V23"/>
  <c r="V22"/>
  <c r="U15"/>
  <c r="T15"/>
  <c r="S15"/>
  <c r="Q15"/>
  <c r="V13"/>
  <c r="V12"/>
  <c r="U11"/>
  <c r="U16" s="1"/>
  <c r="T11"/>
  <c r="V9"/>
  <c r="G127" i="1"/>
  <c r="G14"/>
  <c r="G10"/>
  <c r="G35"/>
  <c r="Q84" i="4"/>
  <c r="T21"/>
  <c r="B58"/>
  <c r="F20"/>
  <c r="B20"/>
  <c r="F82"/>
  <c r="M128" i="1" l="1"/>
  <c r="C35" i="28"/>
  <c r="D32"/>
  <c r="I19" i="7"/>
  <c r="I13"/>
  <c r="V10" i="26" s="1"/>
  <c r="G32" i="28"/>
  <c r="F32"/>
  <c r="C32"/>
  <c r="E32"/>
  <c r="V10" i="18"/>
  <c r="S16"/>
  <c r="Q16"/>
  <c r="U14" i="4"/>
  <c r="R10"/>
  <c r="V23" s="1"/>
  <c r="S10" i="26"/>
  <c r="W23" s="1"/>
  <c r="V14" i="4"/>
  <c r="V21" s="1"/>
  <c r="W14" i="26"/>
  <c r="W21" s="1"/>
  <c r="M127" i="1"/>
  <c r="U30" i="18"/>
  <c r="M123" i="1"/>
  <c r="V12" i="4"/>
  <c r="W12" i="26"/>
  <c r="X12" s="1"/>
  <c r="M130" i="1"/>
  <c r="M121"/>
  <c r="N121"/>
  <c r="R15" i="18"/>
  <c r="V15" s="1"/>
  <c r="T30"/>
  <c r="V8"/>
  <c r="S30"/>
  <c r="N10" i="7"/>
  <c r="D41"/>
  <c r="U12" i="4"/>
  <c r="H83"/>
  <c r="Q49" i="1"/>
  <c r="G118"/>
  <c r="G79"/>
  <c r="G9"/>
  <c r="J9"/>
  <c r="B30"/>
  <c r="O27"/>
  <c r="G11"/>
  <c r="J11"/>
  <c r="E63"/>
  <c r="J61"/>
  <c r="O29"/>
  <c r="B51"/>
  <c r="B113"/>
  <c r="O24"/>
  <c r="G13"/>
  <c r="Q51"/>
  <c r="Q53" s="1"/>
  <c r="G42"/>
  <c r="G74"/>
  <c r="E148" s="1"/>
  <c r="P19"/>
  <c r="B5"/>
  <c r="G112"/>
  <c r="C112"/>
  <c r="G61"/>
  <c r="C99"/>
  <c r="T16" i="18"/>
  <c r="U17" s="1"/>
  <c r="V11"/>
  <c r="V25"/>
  <c r="R28"/>
  <c r="R29" s="1"/>
  <c r="R30" s="1"/>
  <c r="R16" l="1"/>
  <c r="C38" i="28"/>
  <c r="H32"/>
  <c r="X14" i="26"/>
  <c r="W10"/>
  <c r="W13" s="1"/>
  <c r="W22" s="1"/>
  <c r="S13"/>
  <c r="W33" s="1"/>
  <c r="V10" i="4"/>
  <c r="V13" s="1"/>
  <c r="V22" s="1"/>
  <c r="M7" i="7"/>
  <c r="U10" i="4"/>
  <c r="B136" i="1"/>
  <c r="N59"/>
  <c r="V16" i="18"/>
  <c r="R17"/>
  <c r="V28"/>
  <c r="V29" s="1"/>
  <c r="V30" s="1"/>
  <c r="I24" i="19"/>
  <c r="G16"/>
  <c r="J8"/>
  <c r="J7"/>
  <c r="J6"/>
  <c r="E12"/>
  <c r="E10"/>
  <c r="I10"/>
  <c r="B12"/>
  <c r="C12" s="1"/>
  <c r="B28" i="18"/>
  <c r="C28" s="1"/>
  <c r="N33" i="7"/>
  <c r="O27"/>
  <c r="K26"/>
  <c r="K25"/>
  <c r="J10" i="19" l="1"/>
  <c r="S22" i="26"/>
  <c r="V32" s="1"/>
  <c r="K27" i="7"/>
  <c r="X10" i="26"/>
  <c r="C9" i="19"/>
  <c r="B28"/>
  <c r="G7"/>
  <c r="D6"/>
  <c r="D9" s="1"/>
  <c r="C10"/>
  <c r="G10" s="1"/>
  <c r="F29"/>
  <c r="E29"/>
  <c r="D29"/>
  <c r="B29"/>
  <c r="C29"/>
  <c r="G28"/>
  <c r="G27"/>
  <c r="G26"/>
  <c r="F25"/>
  <c r="F30" s="1"/>
  <c r="E25"/>
  <c r="D25"/>
  <c r="D30" s="1"/>
  <c r="C25"/>
  <c r="C30" s="1"/>
  <c r="B25"/>
  <c r="G24"/>
  <c r="G23"/>
  <c r="G22"/>
  <c r="F13"/>
  <c r="D13"/>
  <c r="G11"/>
  <c r="E13"/>
  <c r="E9"/>
  <c r="B9"/>
  <c r="G8"/>
  <c r="F9"/>
  <c r="F14" s="1"/>
  <c r="F16" s="1"/>
  <c r="F40" i="7"/>
  <c r="E36"/>
  <c r="F36"/>
  <c r="E34" i="28" s="1"/>
  <c r="E28" i="7"/>
  <c r="D33" i="28" s="1"/>
  <c r="E24" i="7"/>
  <c r="D35" i="28" s="1"/>
  <c r="N40" i="18"/>
  <c r="M40"/>
  <c r="L40"/>
  <c r="K40"/>
  <c r="J40"/>
  <c r="O39"/>
  <c r="O38"/>
  <c r="O37"/>
  <c r="N36"/>
  <c r="N41" s="1"/>
  <c r="M36"/>
  <c r="L36"/>
  <c r="L41" s="1"/>
  <c r="K36"/>
  <c r="J36"/>
  <c r="J41" s="1"/>
  <c r="O35"/>
  <c r="O34"/>
  <c r="O33"/>
  <c r="J23"/>
  <c r="J28" s="1"/>
  <c r="K23"/>
  <c r="L23"/>
  <c r="M23"/>
  <c r="N23"/>
  <c r="N27"/>
  <c r="M27"/>
  <c r="L27"/>
  <c r="K27"/>
  <c r="J27"/>
  <c r="O25"/>
  <c r="O24"/>
  <c r="O22"/>
  <c r="O21"/>
  <c r="O20"/>
  <c r="C15"/>
  <c r="F15"/>
  <c r="E15"/>
  <c r="D15"/>
  <c r="F29"/>
  <c r="D29"/>
  <c r="G27"/>
  <c r="E29"/>
  <c r="E25"/>
  <c r="C25"/>
  <c r="G24"/>
  <c r="G23"/>
  <c r="F25"/>
  <c r="F30" s="1"/>
  <c r="G22"/>
  <c r="B15"/>
  <c r="G13"/>
  <c r="G12"/>
  <c r="E11"/>
  <c r="C11"/>
  <c r="G10"/>
  <c r="B11"/>
  <c r="G9"/>
  <c r="F11"/>
  <c r="D11"/>
  <c r="D16" s="1"/>
  <c r="O78" i="4"/>
  <c r="V78"/>
  <c r="W15"/>
  <c r="R30" i="1"/>
  <c r="P30"/>
  <c r="Q25"/>
  <c r="Q26" s="1"/>
  <c r="S21"/>
  <c r="P13"/>
  <c r="G82" i="4"/>
  <c r="Q82" s="1"/>
  <c r="V131" i="1"/>
  <c r="W131"/>
  <c r="X131"/>
  <c r="Z131"/>
  <c r="Y125"/>
  <c r="X125"/>
  <c r="W125"/>
  <c r="V125"/>
  <c r="Z125"/>
  <c r="V112"/>
  <c r="W112"/>
  <c r="X112"/>
  <c r="Y112"/>
  <c r="Z112"/>
  <c r="V99"/>
  <c r="W99"/>
  <c r="X99"/>
  <c r="Y99"/>
  <c r="Z99"/>
  <c r="V74"/>
  <c r="W74"/>
  <c r="X74"/>
  <c r="Y74"/>
  <c r="Z74"/>
  <c r="V63"/>
  <c r="W63"/>
  <c r="X63"/>
  <c r="Y63"/>
  <c r="Z63"/>
  <c r="V47"/>
  <c r="X47"/>
  <c r="Y47"/>
  <c r="V42"/>
  <c r="W42"/>
  <c r="X42"/>
  <c r="Y42"/>
  <c r="Z42"/>
  <c r="V29"/>
  <c r="W29"/>
  <c r="X29"/>
  <c r="Z25"/>
  <c r="Z27"/>
  <c r="Z28"/>
  <c r="V20"/>
  <c r="W20"/>
  <c r="X20"/>
  <c r="Y20"/>
  <c r="Z20"/>
  <c r="H30"/>
  <c r="AA51"/>
  <c r="C47"/>
  <c r="Q30" s="1"/>
  <c r="H15" i="12"/>
  <c r="G15"/>
  <c r="F15"/>
  <c r="E15"/>
  <c r="D15"/>
  <c r="C15"/>
  <c r="C17" s="1"/>
  <c r="C18" s="1"/>
  <c r="B15"/>
  <c r="U89" i="4"/>
  <c r="O22"/>
  <c r="N40"/>
  <c r="M40"/>
  <c r="L40"/>
  <c r="K40"/>
  <c r="J40"/>
  <c r="G40"/>
  <c r="Q40" s="1"/>
  <c r="F40"/>
  <c r="E40"/>
  <c r="D40"/>
  <c r="C40"/>
  <c r="B40"/>
  <c r="O39"/>
  <c r="O38"/>
  <c r="O37"/>
  <c r="I80"/>
  <c r="I77"/>
  <c r="I76"/>
  <c r="V63" s="1"/>
  <c r="U79"/>
  <c r="I65"/>
  <c r="U78" s="1"/>
  <c r="V79"/>
  <c r="G58"/>
  <c r="Q58" s="1"/>
  <c r="Y47"/>
  <c r="O52"/>
  <c r="O51"/>
  <c r="O49"/>
  <c r="G44"/>
  <c r="Q44" s="1"/>
  <c r="I44"/>
  <c r="S19" s="1"/>
  <c r="W19" s="1"/>
  <c r="G36"/>
  <c r="Q36" s="1"/>
  <c r="O32"/>
  <c r="O31"/>
  <c r="O28"/>
  <c r="O24"/>
  <c r="O23"/>
  <c r="G20"/>
  <c r="I19"/>
  <c r="O14"/>
  <c r="O12"/>
  <c r="O11"/>
  <c r="O10"/>
  <c r="O8"/>
  <c r="C125" i="1"/>
  <c r="C20"/>
  <c r="S28"/>
  <c r="H35" i="6"/>
  <c r="F24" i="7"/>
  <c r="E35" i="28" s="1"/>
  <c r="C42" i="1"/>
  <c r="C29"/>
  <c r="R25" s="1"/>
  <c r="R26" s="1"/>
  <c r="C50"/>
  <c r="C135"/>
  <c r="G135"/>
  <c r="C131"/>
  <c r="N25" s="1"/>
  <c r="N26" s="1"/>
  <c r="S23"/>
  <c r="D112"/>
  <c r="D99"/>
  <c r="C78"/>
  <c r="G78"/>
  <c r="Q12" s="1"/>
  <c r="N30"/>
  <c r="C63"/>
  <c r="G29"/>
  <c r="R6" s="1"/>
  <c r="E42"/>
  <c r="D42"/>
  <c r="F47"/>
  <c r="E47"/>
  <c r="D47"/>
  <c r="D137"/>
  <c r="E112"/>
  <c r="E99"/>
  <c r="F36" i="4"/>
  <c r="E36"/>
  <c r="V36" s="1"/>
  <c r="C36"/>
  <c r="B36"/>
  <c r="D36"/>
  <c r="X65"/>
  <c r="D125" i="1"/>
  <c r="B91" i="4"/>
  <c r="V31"/>
  <c r="X31" s="1"/>
  <c r="H24" i="7"/>
  <c r="I24" s="1"/>
  <c r="G24"/>
  <c r="F35" i="28" s="1"/>
  <c r="O15" i="7"/>
  <c r="F28"/>
  <c r="O34" i="4"/>
  <c r="O30"/>
  <c r="O77"/>
  <c r="C20"/>
  <c r="O56"/>
  <c r="O50"/>
  <c r="O29"/>
  <c r="O35"/>
  <c r="I75"/>
  <c r="O75" s="1"/>
  <c r="I74"/>
  <c r="O74" s="1"/>
  <c r="I73"/>
  <c r="O73" s="1"/>
  <c r="I72"/>
  <c r="I71"/>
  <c r="O71" s="1"/>
  <c r="I70"/>
  <c r="I67"/>
  <c r="O67" s="1"/>
  <c r="I55"/>
  <c r="I54"/>
  <c r="O54" s="1"/>
  <c r="I53"/>
  <c r="O53" s="1"/>
  <c r="O47"/>
  <c r="F58"/>
  <c r="F44"/>
  <c r="B89"/>
  <c r="D82"/>
  <c r="C82"/>
  <c r="B82"/>
  <c r="D58"/>
  <c r="C58"/>
  <c r="C44"/>
  <c r="B44"/>
  <c r="D20"/>
  <c r="F138" i="1"/>
  <c r="F139" s="1"/>
  <c r="E138"/>
  <c r="E139"/>
  <c r="G139"/>
  <c r="D138"/>
  <c r="F78"/>
  <c r="E78"/>
  <c r="E51" s="1"/>
  <c r="D78"/>
  <c r="F29"/>
  <c r="E29"/>
  <c r="D29"/>
  <c r="D143" s="1"/>
  <c r="F135"/>
  <c r="E135"/>
  <c r="D135"/>
  <c r="E82" i="4"/>
  <c r="E58"/>
  <c r="E44"/>
  <c r="G23" i="1"/>
  <c r="F131"/>
  <c r="F125"/>
  <c r="F98"/>
  <c r="F63"/>
  <c r="F50"/>
  <c r="F42"/>
  <c r="F23"/>
  <c r="F20"/>
  <c r="E131"/>
  <c r="E98"/>
  <c r="E50"/>
  <c r="E23"/>
  <c r="E20"/>
  <c r="D20"/>
  <c r="D23"/>
  <c r="D50"/>
  <c r="D98"/>
  <c r="H28" i="7"/>
  <c r="G33" i="28" s="1"/>
  <c r="G28" i="7"/>
  <c r="F33" i="28" s="1"/>
  <c r="G40" i="7"/>
  <c r="H36"/>
  <c r="G34" i="28" s="1"/>
  <c r="G36" i="7"/>
  <c r="F34" i="28" s="1"/>
  <c r="H32" i="7"/>
  <c r="G32"/>
  <c r="O81" i="4"/>
  <c r="O80"/>
  <c r="O72"/>
  <c r="O70"/>
  <c r="O69"/>
  <c r="O66"/>
  <c r="O65"/>
  <c r="O64"/>
  <c r="O62"/>
  <c r="O61"/>
  <c r="O59"/>
  <c r="O48"/>
  <c r="O46"/>
  <c r="O45"/>
  <c r="O42"/>
  <c r="O41"/>
  <c r="O13"/>
  <c r="O18"/>
  <c r="O9"/>
  <c r="O17"/>
  <c r="O16"/>
  <c r="O7"/>
  <c r="O55"/>
  <c r="O57"/>
  <c r="P21"/>
  <c r="P20"/>
  <c r="P36"/>
  <c r="P58"/>
  <c r="O6"/>
  <c r="N20"/>
  <c r="L20"/>
  <c r="K20"/>
  <c r="N36"/>
  <c r="M36"/>
  <c r="L36"/>
  <c r="K36"/>
  <c r="N44"/>
  <c r="M44"/>
  <c r="L44"/>
  <c r="K44"/>
  <c r="N58"/>
  <c r="M58"/>
  <c r="L58"/>
  <c r="K58"/>
  <c r="N82"/>
  <c r="M82"/>
  <c r="L82"/>
  <c r="L83" s="1"/>
  <c r="K82"/>
  <c r="J20"/>
  <c r="J36"/>
  <c r="J58"/>
  <c r="J82"/>
  <c r="J44"/>
  <c r="L21" i="6"/>
  <c r="E19"/>
  <c r="E18"/>
  <c r="D17"/>
  <c r="E17" s="1"/>
  <c r="E16"/>
  <c r="M20"/>
  <c r="M23"/>
  <c r="L20"/>
  <c r="L22"/>
  <c r="L23"/>
  <c r="L24"/>
  <c r="K22"/>
  <c r="K25" s="1"/>
  <c r="K23"/>
  <c r="J20"/>
  <c r="J22"/>
  <c r="J23"/>
  <c r="J24"/>
  <c r="I22"/>
  <c r="I25" s="1"/>
  <c r="C22"/>
  <c r="I6"/>
  <c r="I7"/>
  <c r="I8"/>
  <c r="I9"/>
  <c r="I10"/>
  <c r="I13"/>
  <c r="O15" i="4"/>
  <c r="M20"/>
  <c r="G50" i="1"/>
  <c r="D63"/>
  <c r="N12"/>
  <c r="N13" s="1"/>
  <c r="D44" i="4"/>
  <c r="G129" i="1"/>
  <c r="E125"/>
  <c r="D131"/>
  <c r="V82" i="4"/>
  <c r="V58"/>
  <c r="S22" i="1"/>
  <c r="W17" i="4"/>
  <c r="W16"/>
  <c r="W18"/>
  <c r="G38" i="28" l="1"/>
  <c r="D14" i="19"/>
  <c r="M25" i="6"/>
  <c r="K83" i="4"/>
  <c r="I32" i="7"/>
  <c r="I40"/>
  <c r="E30" i="19"/>
  <c r="D34" i="28"/>
  <c r="D38" s="1"/>
  <c r="I36" i="7"/>
  <c r="E33" i="28"/>
  <c r="H33" s="1"/>
  <c r="I28" i="7"/>
  <c r="V11" i="26" s="1"/>
  <c r="S23"/>
  <c r="S36"/>
  <c r="F37" i="28"/>
  <c r="H37" s="1"/>
  <c r="H35"/>
  <c r="F41" i="7"/>
  <c r="L25" i="6"/>
  <c r="G41" i="7"/>
  <c r="F142" i="1"/>
  <c r="O76" i="4"/>
  <c r="M28" i="18"/>
  <c r="E41" i="7"/>
  <c r="R10" i="1"/>
  <c r="R13" s="1"/>
  <c r="I12" i="6"/>
  <c r="I15" s="1"/>
  <c r="H41" i="7"/>
  <c r="E16" i="18"/>
  <c r="F32" i="19"/>
  <c r="J25" i="6"/>
  <c r="I26" s="1"/>
  <c r="D139" i="1"/>
  <c r="G29" i="19"/>
  <c r="K26" i="6"/>
  <c r="D22"/>
  <c r="E22" s="1"/>
  <c r="E113" i="1"/>
  <c r="D142"/>
  <c r="Z29"/>
  <c r="F5"/>
  <c r="F113"/>
  <c r="D30"/>
  <c r="D113"/>
  <c r="C113"/>
  <c r="E142"/>
  <c r="C51"/>
  <c r="J98"/>
  <c r="J99"/>
  <c r="C5"/>
  <c r="C30"/>
  <c r="F30"/>
  <c r="E30"/>
  <c r="E5"/>
  <c r="R31"/>
  <c r="E150"/>
  <c r="O79" i="4"/>
  <c r="D83"/>
  <c r="U63"/>
  <c r="O60"/>
  <c r="O63"/>
  <c r="E83"/>
  <c r="V83" s="1"/>
  <c r="O19"/>
  <c r="D8" i="6"/>
  <c r="E8" s="1"/>
  <c r="I40" i="4"/>
  <c r="O40" s="1"/>
  <c r="D51" i="1"/>
  <c r="G63"/>
  <c r="G98"/>
  <c r="G131"/>
  <c r="O10" i="7"/>
  <c r="F16" i="18"/>
  <c r="F17" s="1"/>
  <c r="O40"/>
  <c r="J12"/>
  <c r="R20" i="4"/>
  <c r="R21" s="1"/>
  <c r="O68"/>
  <c r="R12"/>
  <c r="R13" s="1"/>
  <c r="B83"/>
  <c r="I20"/>
  <c r="T10" s="1"/>
  <c r="T13" s="1"/>
  <c r="T22" s="1"/>
  <c r="J11" i="18"/>
  <c r="E30"/>
  <c r="L28"/>
  <c r="N28"/>
  <c r="J83" i="4"/>
  <c r="M83"/>
  <c r="G83"/>
  <c r="O25"/>
  <c r="I36"/>
  <c r="C83"/>
  <c r="B90"/>
  <c r="G125" i="1"/>
  <c r="G47"/>
  <c r="D5"/>
  <c r="G20"/>
  <c r="R9"/>
  <c r="C10" i="6"/>
  <c r="D150" i="1"/>
  <c r="K28" i="18"/>
  <c r="C29"/>
  <c r="C30" s="1"/>
  <c r="G28"/>
  <c r="M41"/>
  <c r="E14" i="19"/>
  <c r="E16" s="1"/>
  <c r="H16" s="1"/>
  <c r="B30"/>
  <c r="G6"/>
  <c r="C13"/>
  <c r="C14" s="1"/>
  <c r="B13"/>
  <c r="G25"/>
  <c r="G30" s="1"/>
  <c r="G9"/>
  <c r="K41" i="18"/>
  <c r="O36"/>
  <c r="O26"/>
  <c r="O27" s="1"/>
  <c r="O23"/>
  <c r="C16"/>
  <c r="G15"/>
  <c r="B25"/>
  <c r="B29"/>
  <c r="B16"/>
  <c r="C17" s="1"/>
  <c r="G11"/>
  <c r="G8"/>
  <c r="G14"/>
  <c r="D25"/>
  <c r="D30" s="1"/>
  <c r="G26"/>
  <c r="Q8" i="1"/>
  <c r="Q9" s="1"/>
  <c r="D149"/>
  <c r="O13" i="7"/>
  <c r="O16" s="1"/>
  <c r="Q31" i="1"/>
  <c r="N83" i="4"/>
  <c r="S24" i="1"/>
  <c r="X47" i="4"/>
  <c r="N31" i="1"/>
  <c r="O44" i="4"/>
  <c r="I82"/>
  <c r="C102"/>
  <c r="I58"/>
  <c r="F83"/>
  <c r="Q83"/>
  <c r="B102"/>
  <c r="F51" i="1"/>
  <c r="S29"/>
  <c r="O11"/>
  <c r="S11" s="1"/>
  <c r="G99"/>
  <c r="O25"/>
  <c r="O26" s="1"/>
  <c r="S20"/>
  <c r="S19"/>
  <c r="P25"/>
  <c r="P26" s="1"/>
  <c r="O30"/>
  <c r="S27"/>
  <c r="N26" i="6" l="1"/>
  <c r="E38" i="28"/>
  <c r="H34"/>
  <c r="I41" i="7"/>
  <c r="J86" i="26"/>
  <c r="U32"/>
  <c r="F38" i="28"/>
  <c r="C43" i="7"/>
  <c r="E43" s="1"/>
  <c r="L7"/>
  <c r="L11" s="1"/>
  <c r="L18" s="1"/>
  <c r="X11" i="26"/>
  <c r="X13" s="1"/>
  <c r="V13"/>
  <c r="E149" i="1"/>
  <c r="Q10"/>
  <c r="U20" i="4"/>
  <c r="U21" s="1"/>
  <c r="V20" i="26"/>
  <c r="R14" i="1"/>
  <c r="H18" i="18"/>
  <c r="U11" i="4"/>
  <c r="U13" s="1"/>
  <c r="M9" i="7"/>
  <c r="M11" s="1"/>
  <c r="S14" i="4"/>
  <c r="W14" s="1"/>
  <c r="M34" i="7"/>
  <c r="C7" i="24"/>
  <c r="C8" s="1"/>
  <c r="F85" i="22"/>
  <c r="S26" i="1"/>
  <c r="O8"/>
  <c r="G113"/>
  <c r="H113" s="1"/>
  <c r="D147"/>
  <c r="F136"/>
  <c r="D136"/>
  <c r="D141" s="1"/>
  <c r="C136"/>
  <c r="G51"/>
  <c r="Y30" s="1"/>
  <c r="E147"/>
  <c r="E151" s="1"/>
  <c r="N8"/>
  <c r="N9" s="1"/>
  <c r="N14" s="1"/>
  <c r="D148"/>
  <c r="F148" s="1"/>
  <c r="F150"/>
  <c r="G150" s="1"/>
  <c r="E6" i="24" s="1"/>
  <c r="E136" i="1"/>
  <c r="P6"/>
  <c r="S6" s="1"/>
  <c r="G5"/>
  <c r="S30"/>
  <c r="F149"/>
  <c r="O12"/>
  <c r="S12" s="1"/>
  <c r="O10"/>
  <c r="G30"/>
  <c r="X30" s="1"/>
  <c r="O41" i="18"/>
  <c r="G29"/>
  <c r="B30"/>
  <c r="R22" i="4"/>
  <c r="D10" i="6"/>
  <c r="E10" s="1"/>
  <c r="N7" i="7"/>
  <c r="N27"/>
  <c r="F85" i="4"/>
  <c r="N26" i="7"/>
  <c r="I83" i="4"/>
  <c r="I86" s="1"/>
  <c r="F86"/>
  <c r="U82"/>
  <c r="S12"/>
  <c r="O36"/>
  <c r="S20"/>
  <c r="D102"/>
  <c r="W47"/>
  <c r="Z47" s="1"/>
  <c r="S11"/>
  <c r="O31" i="1"/>
  <c r="O7"/>
  <c r="C9" i="6"/>
  <c r="E9" s="1"/>
  <c r="D146" i="1"/>
  <c r="O28" i="18"/>
  <c r="G13" i="19"/>
  <c r="G12"/>
  <c r="B14"/>
  <c r="G14" s="1"/>
  <c r="G16" i="18"/>
  <c r="G25"/>
  <c r="G30" s="1"/>
  <c r="O82" i="4"/>
  <c r="O58"/>
  <c r="U58"/>
  <c r="W10"/>
  <c r="O20"/>
  <c r="Z30" i="1"/>
  <c r="X79"/>
  <c r="P31"/>
  <c r="S25"/>
  <c r="I44" i="7" l="1"/>
  <c r="G86" i="26"/>
  <c r="H38" i="28"/>
  <c r="O7" i="7"/>
  <c r="M18"/>
  <c r="C44"/>
  <c r="N11"/>
  <c r="C95" i="26"/>
  <c r="U22" i="4"/>
  <c r="U23" s="1"/>
  <c r="W23" s="1"/>
  <c r="X20" i="26"/>
  <c r="X21" s="1"/>
  <c r="X22" s="1"/>
  <c r="V21"/>
  <c r="V22" s="1"/>
  <c r="Z13"/>
  <c r="O9" i="7"/>
  <c r="I92" i="4"/>
  <c r="B7" i="24"/>
  <c r="I85" i="22"/>
  <c r="I87"/>
  <c r="E7" i="24"/>
  <c r="E8" s="1"/>
  <c r="O9" i="1"/>
  <c r="X51"/>
  <c r="G136"/>
  <c r="K155" s="1"/>
  <c r="S8"/>
  <c r="P9"/>
  <c r="P14" s="1"/>
  <c r="K146"/>
  <c r="G149"/>
  <c r="K147"/>
  <c r="F146"/>
  <c r="D151"/>
  <c r="F151" s="1"/>
  <c r="X5"/>
  <c r="S31"/>
  <c r="S10"/>
  <c r="O13"/>
  <c r="S13" i="4"/>
  <c r="Q13" i="1"/>
  <c r="Q14" s="1"/>
  <c r="N28" i="7"/>
  <c r="N30" s="1"/>
  <c r="W11" i="4"/>
  <c r="S21"/>
  <c r="W20"/>
  <c r="W21" s="1"/>
  <c r="F147" i="1"/>
  <c r="S7"/>
  <c r="W12" i="4"/>
  <c r="O83"/>
  <c r="D7" i="6"/>
  <c r="I85" i="4"/>
  <c r="U91"/>
  <c r="W83"/>
  <c r="I87"/>
  <c r="W30" i="26" l="1"/>
  <c r="V23"/>
  <c r="W24" s="1"/>
  <c r="O11" i="7"/>
  <c r="O18" s="1"/>
  <c r="N18"/>
  <c r="C45"/>
  <c r="E45" s="1"/>
  <c r="M32"/>
  <c r="E44"/>
  <c r="B94" i="22"/>
  <c r="C96" i="26"/>
  <c r="C97" s="1"/>
  <c r="B94" i="4"/>
  <c r="D6" i="24"/>
  <c r="X23" i="4"/>
  <c r="Y23" s="1"/>
  <c r="D7" i="24"/>
  <c r="M33" i="7"/>
  <c r="G146" i="1"/>
  <c r="L147" s="1"/>
  <c r="B93" i="22"/>
  <c r="S22" i="4"/>
  <c r="R23" s="1"/>
  <c r="O14" i="1"/>
  <c r="X136"/>
  <c r="K148"/>
  <c r="S9"/>
  <c r="S13"/>
  <c r="W13" i="4"/>
  <c r="Y13" s="1"/>
  <c r="C7" i="6"/>
  <c r="C11" s="1"/>
  <c r="B93" i="4"/>
  <c r="D11" i="6"/>
  <c r="X23" i="26" l="1"/>
  <c r="Z23" s="1"/>
  <c r="E46" i="7"/>
  <c r="C46"/>
  <c r="M35"/>
  <c r="B95" i="22"/>
  <c r="B95" i="4"/>
  <c r="D8" i="24"/>
  <c r="T15" i="1"/>
  <c r="N15"/>
  <c r="F7" i="24"/>
  <c r="B6"/>
  <c r="B8" s="1"/>
  <c r="T31" i="4"/>
  <c r="T33" s="1"/>
  <c r="S14" i="1"/>
  <c r="W22" i="4"/>
  <c r="E7" i="6"/>
  <c r="E11" s="1"/>
  <c r="F6" i="24" l="1"/>
  <c r="F8" s="1"/>
</calcChain>
</file>

<file path=xl/sharedStrings.xml><?xml version="1.0" encoding="utf-8"?>
<sst xmlns="http://schemas.openxmlformats.org/spreadsheetml/2006/main" count="2597" uniqueCount="403">
  <si>
    <t>โปรแกรมวิชา</t>
  </si>
  <si>
    <t>ชาย</t>
  </si>
  <si>
    <t>หญิง</t>
  </si>
  <si>
    <t>รวม</t>
  </si>
  <si>
    <t>ภาษาอังกฤษ</t>
  </si>
  <si>
    <t>คณะครุศาสตร์</t>
  </si>
  <si>
    <t>พลศึกษาและวิทยาศาสตร์การกีฬา</t>
  </si>
  <si>
    <t>ภาษาไทย</t>
  </si>
  <si>
    <t>สังคมศึกษา</t>
  </si>
  <si>
    <t>คณิตศาสตร์</t>
  </si>
  <si>
    <t>การศึกษาพิเศษ</t>
  </si>
  <si>
    <t>คณะวิทยาศาสตร์และเทคโนโลยี</t>
  </si>
  <si>
    <t>เคมี</t>
  </si>
  <si>
    <t>ฟิสิกส์</t>
  </si>
  <si>
    <t>ชีววิทยาประยุกต์</t>
  </si>
  <si>
    <t>คณะเทคโนโลยีอุตสาหกรรม</t>
  </si>
  <si>
    <t>คณะเทคโนโลยีการเกษตร</t>
  </si>
  <si>
    <t>เทคโนโลยีการเกษตร</t>
  </si>
  <si>
    <t>เทคนิคการสัตวแพทย์</t>
  </si>
  <si>
    <t>คณะมนุษยศาสตร์และสังคมศาสตร์</t>
  </si>
  <si>
    <t>อุตสาหกรรมการท่องเที่ยว หมู่ 1</t>
  </si>
  <si>
    <t>ภาษาอังกฤษธุรกิจ</t>
  </si>
  <si>
    <t>การพัฒนาชุมชน</t>
  </si>
  <si>
    <t>ศิลปกรรม (ออกแบบนิเทศศิลป์)</t>
  </si>
  <si>
    <t>สารสนเทศศาสตร์</t>
  </si>
  <si>
    <t>นิติศาสตร์</t>
  </si>
  <si>
    <t>คณะวิทยาการจัดการ</t>
  </si>
  <si>
    <t>การบริหารธุรกิจ(แขนงวิชาการบริหารทรัพยากรมนุษย์ 1)</t>
  </si>
  <si>
    <t>การบริหารธุรกิจ (แขนงคอมพิวเตอร์ธุรกิจ 1)</t>
  </si>
  <si>
    <t>การบริหารธุรกิจ (แขนงคอมพิวเตอร์ธุรกิจ 2)</t>
  </si>
  <si>
    <t xml:space="preserve">การบริหารธุรกิจ (แขนงวิชาการตลาด 1) </t>
  </si>
  <si>
    <t>การบริหารธุรกิจ (แขนงวิชาการเงินการธนาคาร)</t>
  </si>
  <si>
    <t>การบริหารธุรกิจ (แขนงวิชาการบริหารทรัพยากรมนุษย์)</t>
  </si>
  <si>
    <t>การบริหารธุรกิจ (แขนงคอมพิวเตอร์ธุรกิจ)</t>
  </si>
  <si>
    <t>การบัญชี 4 ปี</t>
  </si>
  <si>
    <t>การบัญชี 2 ปี</t>
  </si>
  <si>
    <t>รวมทั้งมหาวิทยาลัย</t>
  </si>
  <si>
    <t>เทคโนโลยีอุตสาหกรรม (แขนงเทคโนฯไฟฟ้า)</t>
  </si>
  <si>
    <t>วิทยาศาสตร์และเทคโนโลยีการอาหาร</t>
  </si>
  <si>
    <t>5 ปี</t>
  </si>
  <si>
    <t>ป.วิชาชีพครู</t>
  </si>
  <si>
    <t>2 ปี</t>
  </si>
  <si>
    <t>การบริหารธุรกิจ(แขนงวิชาการบัญชี 2)</t>
  </si>
  <si>
    <t>ระดับ</t>
  </si>
  <si>
    <t>ภาคปกติ</t>
  </si>
  <si>
    <t>ภาคพิเศษ</t>
  </si>
  <si>
    <t>อนุปริญญา</t>
  </si>
  <si>
    <t>ปริญญาตรี</t>
  </si>
  <si>
    <t>ปริญญาโท</t>
  </si>
  <si>
    <t>ปริญญาเอก</t>
  </si>
  <si>
    <t>-</t>
  </si>
  <si>
    <t>ป.โท</t>
  </si>
  <si>
    <t>บริหารการศึกษา</t>
  </si>
  <si>
    <t>ยุทธศาสตร์ฯ</t>
  </si>
  <si>
    <t>หลักสูตร</t>
  </si>
  <si>
    <t>เทคโนฯการศึกษา</t>
  </si>
  <si>
    <t>วิทยาศาสตร์</t>
  </si>
  <si>
    <t>รัฐประศาสนศาสตร์</t>
  </si>
  <si>
    <t>ภาวะผู้นำฯ</t>
  </si>
  <si>
    <t>รวมทั้งสิ้น</t>
  </si>
  <si>
    <t>1. จำนวนนักศึกษาปีการศึกษา 2551 แยกตามระดับและประเภทของนักศึกษา</t>
  </si>
  <si>
    <t>2. จำนวนนักศึกษาที่สำเร็จการศึกษา ปีงบประมาณ พ.ศ.2551 (รอบ 8 เดือน)</t>
  </si>
  <si>
    <t>การศึกษา</t>
  </si>
  <si>
    <t>ศิลปศาสตร์</t>
  </si>
  <si>
    <t>การจัดการ</t>
  </si>
  <si>
    <t>อนุ</t>
  </si>
  <si>
    <t>ป.ตรี</t>
  </si>
  <si>
    <t>ประเภท</t>
  </si>
  <si>
    <t>รัฐประศาสนศาสตร์ หมู่ 3</t>
  </si>
  <si>
    <t>การบริหารธุรกิจ(แขนงวิชาการบัญชี 3)</t>
  </si>
  <si>
    <t>กศ.ปท.</t>
  </si>
  <si>
    <t>การบริหารการศึกษา</t>
  </si>
  <si>
    <t>หลักสูตรและการสอน</t>
  </si>
  <si>
    <t>วิทยาศาสตร์ศึกษา</t>
  </si>
  <si>
    <t>ยุทธศาสตร์การพัฒนา</t>
  </si>
  <si>
    <t>เทคโนโลยีดนตรี</t>
  </si>
  <si>
    <t>ภาษาไทยเพื่อการสื่อสาร</t>
  </si>
  <si>
    <t>คณิตศาสตร์ประยุกต์</t>
  </si>
  <si>
    <t>เทคโนโลยีอุตสาหกรรม (แขนงวิชาอิเล็กทรอนิกส์ )</t>
  </si>
  <si>
    <t>เศรษฐศาสตร์ธุรกิจ (ศ.บ.4 ปี)</t>
  </si>
  <si>
    <t>รัฐประศาสนศาสตร์ (รป.บ.)</t>
  </si>
  <si>
    <t>ศิลปกรรม (ศป.บ.)</t>
  </si>
  <si>
    <t>ภาวะผู้นำทางการบริหารการศึกษา</t>
  </si>
  <si>
    <t>บัณฑิตศึกษา</t>
  </si>
  <si>
    <t>2552</t>
  </si>
  <si>
    <t>2551</t>
  </si>
  <si>
    <t>2550</t>
  </si>
  <si>
    <t>2549</t>
  </si>
  <si>
    <t>2548</t>
  </si>
  <si>
    <t>การเพาะเลี้ยงสัตว์น้ำ</t>
  </si>
  <si>
    <t>วิทยาการคอมพิวเตอร์</t>
  </si>
  <si>
    <t>เทคโนโลยีสารสนเทศ</t>
  </si>
  <si>
    <t>การศึกษาปฐมวัย ( 5 ปี )</t>
  </si>
  <si>
    <t>ภาษาอังกฤษ (5 ปี)</t>
  </si>
  <si>
    <t>ภาษาไทย (5 ปี)</t>
  </si>
  <si>
    <t>การบริหารธุรกิจ (แขนงคอมพิวเตอร์ธุรกิจ 3)</t>
  </si>
  <si>
    <t>นวัตกรรมและคอมพิวเตอร์ศึกษา</t>
  </si>
  <si>
    <t>วิจัยหลักสูตรและการสอน</t>
  </si>
  <si>
    <t>การบริหารและพัฒนาการศึกษา</t>
  </si>
  <si>
    <t>2553</t>
  </si>
  <si>
    <t>เทคโนโลยีอุตสาหกรรม (แขนงวิชาโยธา)</t>
  </si>
  <si>
    <t>เทคโนโลยีการเกษตร (แขนงวิชาการผลิตพืช)</t>
  </si>
  <si>
    <t>เทคโนโลยีการเกษตร (แขนงวิชาการผลิตสัตว์)</t>
  </si>
  <si>
    <t>เทคโนโลยีการเกษตร (แขนงวิชาการประมง)</t>
  </si>
  <si>
    <t>เทคโนโลยีการเกษตร (แขนงวิชาวิทยาศาสตร์สุขภาพสัตว์)</t>
  </si>
  <si>
    <t>เทคโนโลยีการเกษตร (แขนงวิชาเกษตรศาสตร์เชิงบูรณาการ)</t>
  </si>
  <si>
    <t>การจัดการอุตสาหกรรมการเกษตร (การจัดการอุตสาหกรรมอาหาร)</t>
  </si>
  <si>
    <t>การจัดการอุตสาหกรรมการเกษตร (การจัดการธุรกิจเกษตร)</t>
  </si>
  <si>
    <t>รัฐประศาสนศาสตร์ (รป.ม.)</t>
  </si>
  <si>
    <t>การจัดการอาชีวอุตสาหกรรม (ศศ.ม.)</t>
  </si>
  <si>
    <t>รปศ.(การปกครองส่วนท้องถิ่น)</t>
  </si>
  <si>
    <t xml:space="preserve">เทคโนโลยีอุตสาหกรรม (แขนงอุตสาหการ) </t>
  </si>
  <si>
    <t>สังคมศึกษา (5 ปี)</t>
  </si>
  <si>
    <t>พลศึกษาและวิทยาศาสตร์การกีฬา (5 ปี)</t>
  </si>
  <si>
    <t>คณิตศาสตร์( 5 ปี)</t>
  </si>
  <si>
    <t>วิทยาศาสตร์( 5 ปี)</t>
  </si>
  <si>
    <t>ชีววิทยา</t>
  </si>
  <si>
    <t>การบริหารธุรกิจ (แขนงการบัญชี)</t>
  </si>
  <si>
    <t>รัฐประศาสนศาสตร์ (ศศ.บ.)</t>
  </si>
  <si>
    <t>เกษตรศาสตร์</t>
  </si>
  <si>
    <t>สัตวบาล (อ.วท.)</t>
  </si>
  <si>
    <t>เทคโนโลยีอุตสาหกรรม (การจัดการอุตสาหกรรม)</t>
  </si>
  <si>
    <t>การพัฒนาชุมชน ( 4 ปี)</t>
  </si>
  <si>
    <t>รัฐประศาสนศาสตร์ หมู่ 1 (รป.บ.)</t>
  </si>
  <si>
    <t>การบริหารธุรกิจ(แขนงวิชาการบัญชี 2 ปี)</t>
  </si>
  <si>
    <t>เทคโนโลยีอุตสาหกรรม (แขนงเทคโนฯโยธา 4 ปี)</t>
  </si>
  <si>
    <t>การวิจัยและพัฒนาการศึกษา</t>
  </si>
  <si>
    <t>ประกาศนียบัตรสาขาวิชาชีพครู</t>
  </si>
  <si>
    <t>- ประเภทครูผู้สอน</t>
  </si>
  <si>
    <t>- ประเภทบุคคลทั่วไป</t>
  </si>
  <si>
    <t>การจัดการอาชีวอุตสาหกรรม</t>
  </si>
  <si>
    <t>ปีการศึกษา</t>
  </si>
  <si>
    <t>2554</t>
  </si>
  <si>
    <t>การบริหารธุรกิจ (แขนงการจัดการโลจิสติกส์)</t>
  </si>
  <si>
    <t>ป.เอก</t>
  </si>
  <si>
    <t xml:space="preserve">ภาษาอังกฤษ </t>
  </si>
  <si>
    <t xml:space="preserve">การศึกษาปฐมวัย </t>
  </si>
  <si>
    <t xml:space="preserve">วิทยาศาสตร์สิ่งแวดล้อม </t>
  </si>
  <si>
    <t xml:space="preserve">วิทยาการคอมพิวเตอร์ </t>
  </si>
  <si>
    <t>เทคโนโลยีอุตสาหกรรม (แขนงเทคโนฯ ก่อสร้าง 2 ปี)</t>
  </si>
  <si>
    <t>เทคโนโลยีอุตสาหกรรม (แขนงเทคโนฯ การผลิต 2 ปี)</t>
  </si>
  <si>
    <t>การจัดการทั่วไป (บธ.บ. 2 ปี)</t>
  </si>
  <si>
    <t>การบริหารธุรกิจ (แขนงคอมพิวเตอร์ธุรกิจ 2 ปี)</t>
  </si>
  <si>
    <t>รัฐประศาสนศาสตร์ หมู่ 1 (ศศ.บ.)</t>
  </si>
  <si>
    <t>รัฐประศาสนศาสตร์ หมู่ 1 (รป.บ. การปกครองส่วนท้องถิ่น)</t>
  </si>
  <si>
    <t>เทคโนโลยีอุตสาหกรรม (แขนงเทคโนฯอิเล็กทรอนิกส์ 2 ปี)</t>
  </si>
  <si>
    <t>การบริหารธุรกิจ(แขนงวิชาการบริหารทรัพยากรมนุษย์ 2 ปี)</t>
  </si>
  <si>
    <t>เทคโนโลยีอุตสาหกรรม (แขนงเทคโนฯ การจัดการอุตสาหกรรม 2 ปี)</t>
  </si>
  <si>
    <t>ไม่รวมอนุ 5 คน (ก่อสร้าง 3 อิเล็ก 2 คน) และ ว่าง 11 คน</t>
  </si>
  <si>
    <t>4 ปี</t>
  </si>
  <si>
    <t>โท</t>
  </si>
  <si>
    <t>เอก</t>
  </si>
  <si>
    <t>ป.</t>
  </si>
  <si>
    <t>เทคโนโลยีอุตสาหกรรม (แขนงวิชาเทคโนฯไฟฟ้า)</t>
  </si>
  <si>
    <t>การจัดการ 2 ปี</t>
  </si>
  <si>
    <t>สังคม</t>
  </si>
  <si>
    <t>วิทย์</t>
  </si>
  <si>
    <t>การบัญชี 4 ปีเทียบโอน</t>
  </si>
  <si>
    <t>4 ปีเทียบโอน</t>
  </si>
  <si>
    <t>เทคโนโลยีอุตสาหกรรม (แขนงเทคโนฯโยธา 4 ปีเทียบโอน)</t>
  </si>
  <si>
    <t>เทคโนโลยีอุตสาหกรรม (เทคโนโลยีไฟฟ้า 4 ปีเทียบโอน)</t>
  </si>
  <si>
    <t>รวม 4 ปี</t>
  </si>
  <si>
    <t>รวม 2 ปี</t>
  </si>
  <si>
    <t>2555</t>
  </si>
  <si>
    <t>คหกรรมศาสตร์</t>
  </si>
  <si>
    <t>อุตสาหกรรมศิลป์และเทคโนโลยี</t>
  </si>
  <si>
    <t xml:space="preserve">สาธารณสุขศาสตร์ </t>
  </si>
  <si>
    <t>สาธารณสุขชุมชน</t>
  </si>
  <si>
    <t>การเมืองการปกครอง</t>
  </si>
  <si>
    <t>พืชศาสตร์</t>
  </si>
  <si>
    <t>ปกติ</t>
  </si>
  <si>
    <t>ฟิสิกส์ ป.เอก</t>
  </si>
  <si>
    <t>การบริหารการพัฒนา (ป.เอก)</t>
  </si>
  <si>
    <t>ฟิสิกส์ ป.โท</t>
  </si>
  <si>
    <t>วิทยาการสารสนเทศและเทคโนโลยี</t>
  </si>
  <si>
    <t>สรุปผลการดำเนินงานที่สำคัญในปีที่ผ่านมาจนถึงปัจจุบัน ( ณ วันที่ 30  มิถุนายน 2555)</t>
  </si>
  <si>
    <t>เทคโนโลยีอุตสาหกรรม (แขนงเทคโนฯการจัดการสิ่งแวดล้อมและผังเมือง)</t>
  </si>
  <si>
    <t>การบริหารงานก่อสร้าง (ทล.บ. 2 ปี)</t>
  </si>
  <si>
    <t>เทคโนโลยีอุตสาหกรรม (เทคโนโลยีเครื่องกล ทล.บ 2 ปี)</t>
  </si>
  <si>
    <t>เทคโนโลยีไฟฟ้าและอิเล็กทรอนิกส์ (เทคโนโลยีไฟฟ้า ทล.บ.2 ปี)</t>
  </si>
  <si>
    <t>จำนวนนักเรียนที่คงอยู่และคาดว่าจะเข้าเรียน</t>
  </si>
  <si>
    <t>ของโรงเรียนวิถีธรรมแห่งมหาวิทยาลัยราชภัฏสกลนคร</t>
  </si>
  <si>
    <t>จำนวนนักเรียน</t>
  </si>
  <si>
    <t>อนุบาล 1</t>
  </si>
  <si>
    <t>อนุบาล 2</t>
  </si>
  <si>
    <t>อนุบาล 3</t>
  </si>
  <si>
    <t>ประถมศึกษา 1</t>
  </si>
  <si>
    <t>ประถมศึกษา 2</t>
  </si>
  <si>
    <t>ประถมศึกษา 3</t>
  </si>
  <si>
    <t>ประถมศึกษา 4</t>
  </si>
  <si>
    <t>ประถมศึกษา 5</t>
  </si>
  <si>
    <t>ประถมศึกษา 6</t>
  </si>
  <si>
    <t>ศศ.บ.</t>
  </si>
  <si>
    <t>เดิม 40</t>
  </si>
  <si>
    <t>เดิม 12</t>
  </si>
  <si>
    <t>เดิม 13</t>
  </si>
  <si>
    <t xml:space="preserve">เดิมไม่มี </t>
  </si>
  <si>
    <t>วิทยาการจัดการ</t>
  </si>
  <si>
    <t>เทคโนโลยีอุตสาหกรรม</t>
  </si>
  <si>
    <t>วิทยาศาสตร์และเทคโนโลยี</t>
  </si>
  <si>
    <t>ครุศาสตร์</t>
  </si>
  <si>
    <t>คณะ</t>
  </si>
  <si>
    <t>ระดับการศึกษา</t>
  </si>
  <si>
    <t>ป.ตรี 2 ปี</t>
  </si>
  <si>
    <t>ป.ตรี 4 ปี</t>
  </si>
  <si>
    <t>ป.ตรี 5 ปี</t>
  </si>
  <si>
    <t>มนุษยศาสตร์และสังคมศษาสตร์</t>
  </si>
  <si>
    <t>นักศึกษาเข้าใหม่</t>
  </si>
  <si>
    <t>แ.ตรี</t>
  </si>
  <si>
    <t>แ.โท</t>
  </si>
  <si>
    <t>ครุ</t>
  </si>
  <si>
    <t>มนุษย์</t>
  </si>
  <si>
    <t>เกษตร</t>
  </si>
  <si>
    <t>อุตสาหกรรม</t>
  </si>
  <si>
    <t xml:space="preserve">การท่องเที่ยว </t>
  </si>
  <si>
    <t>อุตสาหกรรมการท่องเที่ยว</t>
  </si>
  <si>
    <t xml:space="preserve">คณะเทคโนโลยีอุตสาหกรรม </t>
  </si>
  <si>
    <t>วท.บ. 4 ปี / ทล.บ. 4 ปี</t>
  </si>
  <si>
    <t>เทคโนโลยีอุตสาหกรรม (แขนงเทคโนฯโยธา)</t>
  </si>
  <si>
    <t>วท.บ. 2 ปีหลัง/ทล.บ. 2 ปีหลัง</t>
  </si>
  <si>
    <t>การจัดการทั่วไป (บธ.บ. 4 ปี)</t>
  </si>
  <si>
    <t>การบริหารธุรกิจ(แขนงวิชาการบัญชี 4)</t>
  </si>
  <si>
    <t>การบริหารธุรกิจ (แขนงคอมพิวเตอร์ธุรกิจ 4 ปี)</t>
  </si>
  <si>
    <t>การบริหารธุรกิจ(แขนงวิชาการบริหารทรัพยากรมนุษย์ 4 ปี)</t>
  </si>
  <si>
    <t>ข้อมูล ณ วันที่ 3  มิถุนายน  2556</t>
  </si>
  <si>
    <t>สรุปจำนวนนักศึกษาเข้าใหม่ภาคปกติ ประจำปีการศึกษา 2554</t>
  </si>
  <si>
    <t>สรุปจำนวนนักศึกษาเข้าใหม่ภาคปกติ ประจำปีการศึกษา 2555</t>
  </si>
  <si>
    <t>สรุปจำนวนนักศึกษาเข้าใหม่ภาคปกติ ประจำปีการศึกษา 2556</t>
  </si>
  <si>
    <t>สรุปจำนวนนักศึกษาคงอยู่ภาคปกติ ประจำปีการศึกษา 2556</t>
  </si>
  <si>
    <t>จำนวนนักศึกษาระดับบัณฑิตศึกษา ประจำปีการศึกษา 2556</t>
  </si>
  <si>
    <t>2556</t>
  </si>
  <si>
    <t>นวัตกรรมการบริหารการศึกษา</t>
  </si>
  <si>
    <t>รวมด้านสังคมศาสตร์</t>
  </si>
  <si>
    <t>รวมด้านวิทยาศาสตร์</t>
  </si>
  <si>
    <t>สรุปจำนวนนักศึกษาคงอยู่ภาคพิเศษ ประจำปีการศึกษา 2556</t>
  </si>
  <si>
    <t>สรุปจำนวนนักศึกษาเข้าใหม่ภาคพิเศษ ประจำปีการศึกษา 2556</t>
  </si>
  <si>
    <r>
      <t>หมายเหตุ :</t>
    </r>
    <r>
      <rPr>
        <sz val="16"/>
        <color rgb="FFFF0000"/>
        <rFont val="TH SarabunPSK"/>
        <family val="2"/>
      </rPr>
      <t xml:space="preserve"> ป.ตรี 2 ปี คือ ประกาศนียบัตรวิชาชีพครู</t>
    </r>
  </si>
  <si>
    <t>ป.วิชาชีพ</t>
  </si>
  <si>
    <t>การศึกษาพิเศษ / การศึกษาพิเศษและภาษาอังกฤษ</t>
  </si>
  <si>
    <t>นิเทศศาสตร์ (นศ.บ.4 ปี)</t>
  </si>
  <si>
    <t>บริหารธุรกิจ (แขนงการจัดการทั่วไป)</t>
  </si>
  <si>
    <t>การบริหารธุรกิจ (การเลขานุการ)</t>
  </si>
  <si>
    <t>เทคโนโลยีอุตสาหกรรม (แขนงวิชาอิเล็กทรอนิกส์)</t>
  </si>
  <si>
    <t>เทคโนโลยีอุตสาหกรรม (แขนงวิชาเทคโนฯสถาปัตยกรรม)</t>
  </si>
  <si>
    <t>เทคโนโลยีอุตสาหกรรม (แขนงวิชาเทคโนฯการผลิต)</t>
  </si>
  <si>
    <t>เทคโนโลยีอุตสาหกรรม (แขนงวิชาเทคโนฯการจัดการอุตสาหกรรม)</t>
  </si>
  <si>
    <t>เทคโนโลยีอุตสาหกรรม (แขนงวิชาเทคโนฯเครื่องกล)</t>
  </si>
  <si>
    <t>ไฟฟ้าและอิเล็กทรอนิกส์ (แขนงวิชาไฟฟ้า)</t>
  </si>
  <si>
    <t>ไฟฟ้าและอิเล็กทรอนิกส์ (แขนงวิชาอิเล็กททรอนิกส์)</t>
  </si>
  <si>
    <t>การบริหารงานก่อสร้าง</t>
  </si>
  <si>
    <t>เทคโนโลยีอุตสาหกรรม (แขนงวิชาเทคโนโลยีการผลิต)</t>
  </si>
  <si>
    <t>หลักสูตร ทล.บ. เริ่มเปิดในปีการศึกษา 2555</t>
  </si>
  <si>
    <t>เทคโนโลยีไฟฟ้าและอิเล็กทรอนิกส์ (เทคโนโลยีอิเล็กทรอนิกส์ ทล.บ.2 ปี)</t>
  </si>
  <si>
    <t>เทคโนโลยีอุตสาหกรรม (เทคโนโลยีไฟฟ้า วท.บ. 4 ปี)</t>
  </si>
  <si>
    <t>เทคโนโลยีอุตสาหกรรม (แขนงเทคโนฯอิเล็กทรอนิกส์ วท.บ. 4 ปี)</t>
  </si>
  <si>
    <t>เทคโนโลยีอุตสาหกรรม (แขนงเทคโนฯการผลิต วท.บ.4  ปี)</t>
  </si>
  <si>
    <t>คณะครุศาสตร์ ป.ตรี 2 ปี ได้แก่ ป.วิชาชีพครู  ยกมาจากบัณฑิตวิทยาลัย</t>
  </si>
  <si>
    <t>ข้อมูล ณ วันที่ 30 มิถุนายน 2556</t>
  </si>
  <si>
    <t>จาก โรงเรียนวิถีธรรมฯ</t>
  </si>
  <si>
    <t>ระดับปฐมวัย</t>
  </si>
  <si>
    <t>ระดับประถมศึกษา</t>
  </si>
  <si>
    <t>รวมด้านวิทยาศาสตร์ฯ</t>
  </si>
  <si>
    <t>การสอนวิทยาศาสตร์</t>
  </si>
  <si>
    <t>สรุปจำนวนนักศึกษาคงอยู่ ภาคปกติ ประจำปีงบประมาณ พ.ศ. 2556</t>
  </si>
  <si>
    <t>สรุปจำนวนนักศึกษาคงอยู่ ภาคพิเศษ ประจำปีงบประมาณ พ.ศ. 2556</t>
  </si>
  <si>
    <t>ประจำเดือน กันยายน 2556</t>
  </si>
  <si>
    <t>2557</t>
  </si>
  <si>
    <t>รวมด้านมนุษยศาสตร์</t>
  </si>
  <si>
    <t>รวมด้านวิทยาศซาสตร์</t>
  </si>
  <si>
    <t>ด้านสังคม</t>
  </si>
  <si>
    <t>ด้านวิทย์</t>
  </si>
  <si>
    <t>แขนงวิชาการผลิตพืช</t>
  </si>
  <si>
    <t>แขนงวิชาการประมง</t>
  </si>
  <si>
    <t>แขนงวิชาการผลิตสัตว์</t>
  </si>
  <si>
    <t>แขนงวิชาธุรกิจการเกษตร</t>
  </si>
  <si>
    <t>วัฒนธรรมศึกษาเพื่อการพัฒนา</t>
  </si>
  <si>
    <t>สรุปจำนวนนักศึกษาเข้าใหม่ ประจำปีการศึกษา 2557</t>
  </si>
  <si>
    <t>รวม 4 ปี วจ.</t>
  </si>
  <si>
    <t>รวม 2 ปี วจ.</t>
  </si>
  <si>
    <t>ข้อมูล ณ  วันที่ 9  ก.ค.  2557</t>
  </si>
  <si>
    <t>สรุปจำนวนนักศึกษาคงอยู่ ประจำปีการศึกษา 2557</t>
  </si>
  <si>
    <t>จำนวนนักศึกษาภาคปกติ ประจำปีการศึกษา  2557  จำแนกตามปีที่เข้าศึกษา</t>
  </si>
  <si>
    <t>การบริหารการศึกษาและภาวะผู้นำ</t>
  </si>
  <si>
    <t>แถบสี นักศึกษาระดับบัณฑิตดูจากเวปบัณฑิต</t>
  </si>
  <si>
    <t>ถูกต้อง 18/7/57</t>
  </si>
  <si>
    <t>จำนวนนักศึกษาภาคพิเศษ ปีการศึกษา 2557</t>
  </si>
  <si>
    <t>ถูกต้อง ณ 18/7/57</t>
  </si>
  <si>
    <t>ข้อมูล ณ  วันที่ 18  ก.ค.  2557</t>
  </si>
  <si>
    <t>เทคโนโลยีอุตสาหกรรม (แขนงวิชาเทคโนฯอุตสาหการ)</t>
  </si>
  <si>
    <t>จำนวนนักศึกษาระดับบัณฑิตศึกษา ประจำปีการศึกษา 2557</t>
  </si>
  <si>
    <t>จำนวนนักศึกษาคงอยู่ 30 กันยายน 2557</t>
  </si>
  <si>
    <t>จำแนกตามการศึกษาและระดับการศึกษา</t>
  </si>
  <si>
    <t>ภาคการศึกษา</t>
  </si>
  <si>
    <t>ป.บัณฑิต(วิชาชีพครู)</t>
  </si>
  <si>
    <t>ถูกต้อง</t>
  </si>
  <si>
    <t>ดนตรี วุฒิ ศป.บ.</t>
  </si>
  <si>
    <t>เทคโนฯไฟฟ้าและอิเล็กทรอนิกส์ (แขนงวิชาไฟฟ้า)</t>
  </si>
  <si>
    <t>เทคโนฯไฟฟ้าและอิเล็กทรอนิกส์ (แขนงวิชาอิเล็กททรอนิกส์)</t>
  </si>
  <si>
    <t>เทคโนโลยีอุตสาหกรรม (แขนงเทคโนฯ การผลิต ทล.บ.2 ปี)</t>
  </si>
  <si>
    <t>ดนตรี/เทคโนโลยีดนตรี</t>
  </si>
  <si>
    <t>ณ 24/04/58</t>
  </si>
  <si>
    <t xml:space="preserve">ข้อมูล ณ  วันที่ 24  เมษายน 2558  </t>
  </si>
  <si>
    <t>หมายเหตุ ปริญญาตรี 2 ปี คณะครุศาสตร์ คือ ประกาศนียบัตรวิชาชีพครู</t>
  </si>
  <si>
    <t>ข้อมูล ณ วันที่ 30 มิถุนายน 2557</t>
  </si>
  <si>
    <t>จาก โรงเรียนวิถีธรรมแห่งมหาวิทยาลัยราชภัฏสกลนคร</t>
  </si>
  <si>
    <t>2558</t>
  </si>
  <si>
    <t xml:space="preserve">การบริหารธุรกิจ (แขนงวิชาการจัดการธุรกิจค้าปลีก) </t>
  </si>
  <si>
    <t>เทคโนโลยีการเกษตร ประมง</t>
  </si>
  <si>
    <t>เทคโนโลยีการเกษตร ธุรกิจการเกษตร</t>
  </si>
  <si>
    <t>เทคโนโลยีก่อสร้างและสถาปัตยกรรม(แขนงสถาปัตยกรรม)</t>
  </si>
  <si>
    <t>เทคโนโลยีก่อสร้างและสถาปัตยกรรม(แขนงเทคโนฯก่อสร้าง)</t>
  </si>
  <si>
    <t>เทคโนโลยีเครื่องกลและการผลิต (แขนงเทคโนฯการผลิต)</t>
  </si>
  <si>
    <t>เทคโนโลยีเครื่องกลและการผลิต (แขนงเทคโนฯเครื่องกล)</t>
  </si>
  <si>
    <t>สรุปจำนวนนักศึกษาคงอยู่ ประจำปีการศึกษา 2558</t>
  </si>
  <si>
    <t xml:space="preserve">การบริหารธุรกิจ (แขนงวิชาการตลาด ) </t>
  </si>
  <si>
    <t>เทคโนโลยีก่อสร้างและเทคโนฯสถาปัตยกรรม (แขนงเทคโนฯก่อสร้าง ทล.บ. 4  ปี)</t>
  </si>
  <si>
    <t>รวมด้านวิทย์</t>
  </si>
  <si>
    <t>จาก ไฟล์โอดส่งเสริม</t>
  </si>
  <si>
    <t>ขาด</t>
  </si>
  <si>
    <t>ชั้นปี</t>
  </si>
  <si>
    <t>ปีที่ 1</t>
  </si>
  <si>
    <t>ปีที่ 2</t>
  </si>
  <si>
    <t>ปีที่ 3</t>
  </si>
  <si>
    <t>ปีที่ 4</t>
  </si>
  <si>
    <t>ปีที่ 5</t>
  </si>
  <si>
    <t>ปีที่ 6</t>
  </si>
  <si>
    <t>มนุษยศาสตร์และสังคมศาสตร์</t>
  </si>
  <si>
    <t>สรุปจำนวนนักเรียน นักศึกษา มหาวิทยาลัยราชภัฏสกลนคร</t>
  </si>
  <si>
    <t>ประจำปีการศึกษา 2558</t>
  </si>
  <si>
    <t>1) จำนวนนักเรียนก่อนระดับประถมศึกษา</t>
  </si>
  <si>
    <t>หน่วยงาน</t>
  </si>
  <si>
    <t>โรงเรียนวิถีธรรมแห่งมหาวิทยาลัยราชภัฏสกลนคร</t>
  </si>
  <si>
    <t>2) จำนวนนักเรียนระดับประถมศึกษา</t>
  </si>
  <si>
    <t>ประถมศึกษาที่ 1</t>
  </si>
  <si>
    <t>ประถมศึกษาที่ 2</t>
  </si>
  <si>
    <t>ประถมศึกษาที่ 3</t>
  </si>
  <si>
    <t>3) สรุปจำนวนนักศึกษาระดับปริญญาตรี จำแนกตามคณะและจำนวนชั้นปี</t>
  </si>
  <si>
    <t>ข้อมูล ณ 30 ก.พ. 59</t>
  </si>
  <si>
    <t>4) สรุปจำนวนนักศึกษาระดับสูงกว่าปริญญาตรี จำแนกตามคณะและจำนวนชั้นปี (ป.วิชาชีพครู - ป.โท - ป.เอก)</t>
  </si>
  <si>
    <t>2559</t>
  </si>
  <si>
    <t>สาขาวิชาการบริหารและพัฒนาการศึกษา หมู่ 1</t>
  </si>
  <si>
    <t>ข้อมูล ณ วันที่ 28 มิถุนายน 2559</t>
  </si>
  <si>
    <t>เทคโนโลยีก่อสร้าง (เทคโนฯก่อสร้าง) (ทล.บ. 2 ปี)</t>
  </si>
  <si>
    <t>สรุปจำนวนนักศึกษาเข้าใหม่ ประจำปีการศึกษา 2559</t>
  </si>
  <si>
    <t>คอมพิวเตอร์ธุรกิจ</t>
  </si>
  <si>
    <t>เทคโนโลยีการเกษตร สัตวศาสตร์</t>
  </si>
  <si>
    <t>เทคโนโลยีเครื่องกลและเทคโนฯการผลิต (แขนงเทคโนฯเครื่องกล ทล.บ. 4  ปี)</t>
  </si>
  <si>
    <t>จำนวนนักศึกษาภาคปกติ ประจำปีการศึกษา  2559  จำแนกตามปีที่เข้าศึกษา</t>
  </si>
  <si>
    <t>จำนวนนักศึกษาภาคพิเศษ ปีการศึกษา 2559</t>
  </si>
  <si>
    <t>ข้อมูล ณ วั้นที่ 31 สิงหาคม 2559</t>
  </si>
  <si>
    <t>สรุปจำนวนนักศึกษาคงอยู่ ประจำปีการศึกษา 2559</t>
  </si>
  <si>
    <t>รวมนักศึกษาที่ย้ายมาจากปีที่ 2 แล้ว</t>
  </si>
  <si>
    <t>ประจำเดือนสิงหาคม 2559</t>
  </si>
  <si>
    <t>ข้อมูล ณ  วันที่ 30 กันยายน 2559 จากเล่มเข้าสภามหาวิทยาลัยฯ</t>
  </si>
  <si>
    <t>เทคโนโลยีไฟฟ้าและอิเล็กทรอนิกส์ (เทคโนโลยีไฟฟ้า ทล.บ.4 ปี)</t>
  </si>
  <si>
    <t>นักศึกษาคงอยู่</t>
  </si>
  <si>
    <t>2560</t>
  </si>
  <si>
    <t>2561</t>
  </si>
  <si>
    <t>2562</t>
  </si>
  <si>
    <t>2563</t>
  </si>
  <si>
    <t>2564</t>
  </si>
  <si>
    <t>แผนรับนักศึกษา</t>
  </si>
  <si>
    <t>แผนการรับนักศึกษา ระดับบัณฑิตศึกษา ประจำปีการศึกษา 2560-2564</t>
  </si>
  <si>
    <t>นักศึกษาใหม่ ปี 2559</t>
  </si>
  <si>
    <t>ปรับใหม่แล้ว</t>
  </si>
  <si>
    <t>การสร้างเสริมสุขภาพผู้สูงวัย</t>
  </si>
  <si>
    <t>อาชีวอนามัย ความปลอดภัย และสิ่งแวดล้อม</t>
  </si>
  <si>
    <t>บริหารธุรกิจการเกษตร</t>
  </si>
  <si>
    <t>ประมง</t>
  </si>
  <si>
    <t>ปรับแล้ว</t>
  </si>
  <si>
    <t>เทคโนโลยีก่อสร้าง</t>
  </si>
  <si>
    <t>เทคโนโลยีสถาปัตยกรรม</t>
  </si>
  <si>
    <t>วิศวกรรมโยธา</t>
  </si>
  <si>
    <t>วิศวกรรมอิเล็กทรอนิกส์</t>
  </si>
  <si>
    <t>เทคโนโลยีเครื่องกลและการผลิต (แขนงเทคโนฯการผลิต)เทียบโอน</t>
  </si>
  <si>
    <t>เทคโนโลยีเครื่องกลและการผลิต (แขนงเทคโนฯเครื่องกล)เทียบโอน</t>
  </si>
  <si>
    <t>เทคโนฯไฟฟ้าและอิเล็กทรอนิกส์ (แขนงวิชาอิเล็กททรอนิกส์)เทียบโอน</t>
  </si>
  <si>
    <t>เทคโนฯไฟฟ้าและอิเล็กทรอนิกส์ (แขนงวิชาไฟฟ้า)เทียบโอน</t>
  </si>
  <si>
    <t>เทคโนโลยีก่อสร้างและสถาปัตยกรรม(แขนงเทคโนฯก่อสร้าง)เทียบโอน</t>
  </si>
  <si>
    <t>วิศวกรรมโยธา เทียบโอน</t>
  </si>
  <si>
    <t>เทคโนโลยีอุตสาหกรรม (แขนงเทคโนฯเครื่องกล ทล.บ.2  ปี)</t>
  </si>
  <si>
    <t>เทคโนโลยีอุตสาหกรรม (แขนงเทคโนฯการผลิต ทล.บ.2  ปี)</t>
  </si>
  <si>
    <t>เทคโนโลยีเครื่องกลและเทคโนฯการผลิต (แขนงเทคโนฯการผลิต ทล.บ. 4  ปีเทียบโอน)</t>
  </si>
  <si>
    <t>เทคโนโลยีเครื่องกลและเทคโนฯการผลิต (แขนงเทคโนฯเครื่องกล ทล.บ. 4  ปีเทียบโอน)</t>
  </si>
  <si>
    <t>เทคโนโลยีก่อสร้างและเทคโนฯสถาปัตยกรรม (แขนงเทคโนฯก่อสร้าง ทล.บ. 4  ปีเทียบโอน)</t>
  </si>
  <si>
    <t>วิศวกรรมโยธา (ทล.บ. 4 ปีเทียบโอน)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</si>
  <si>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</si>
  <si>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</si>
  <si>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</si>
  <si>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</si>
  <si>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</si>
  <si>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</si>
  <si>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</si>
  <si>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</si>
  <si>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</si>
  <si>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</si>
  <si>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คาดว่าจะเปิดสาขาใหม่</t>
  </si>
  <si>
    <t>แผนการรับนักศึกษา ภาคปกติ ประจำปีการศึกษา  2560-2574</t>
  </si>
  <si>
    <t>แผนการรับนักศึกษา ภาคพิเศษ ประจำปีการศึกษา 2560-2574</t>
  </si>
  <si>
    <t>แผนการรับนักศึกษา ต่างชาติ ภาคพิเศษ ประจำปีการศึกษา 2560-2574</t>
  </si>
  <si>
    <t>แผนการรับนักศึกษา ระดับบัณฑิตศึกษา ต่างชาติ ประจำปีการศึกษา 2560-2574</t>
  </si>
  <si>
    <t>แผนการรับนักศึกษา ระดับบัณฑิตศึกษา ประจำปีการศึกษา 2560-2574</t>
  </si>
  <si>
    <t>แผนการรับนักศึกษา ต่างชาติ ภาคปกติ ประจำปีการศึกษา  2560-2574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</si>
</sst>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3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Microsoft Sans Serif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0"/>
      <color rgb="FFFF0000"/>
      <name val="Microsoft Sans Serif"/>
      <family val="2"/>
    </font>
    <font>
      <sz val="10"/>
      <color rgb="FFFF0000"/>
      <name val="Arial"/>
      <family val="2"/>
    </font>
    <font>
      <b/>
      <sz val="10"/>
      <color rgb="FFFF0000"/>
      <name val="Microsoft Sans Serif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0"/>
      <color rgb="FFFF0000"/>
      <name val="Arial"/>
      <family val="2"/>
    </font>
    <font>
      <sz val="15"/>
      <name val="TH SarabunPSK"/>
      <family val="2"/>
    </font>
    <font>
      <sz val="14"/>
      <name val="TH SarabunPSK"/>
      <family val="2"/>
    </font>
    <font>
      <sz val="15"/>
      <color rgb="FFFF0000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32">
    <xf numFmtId="0" fontId="0" fillId="0" borderId="0" xfId="0"/>
    <xf numFmtId="3" fontId="4" fillId="0" borderId="2" xfId="1" applyNumberFormat="1" applyFont="1" applyFill="1" applyBorder="1" applyAlignment="1">
      <alignment horizontal="left" indent="1"/>
    </xf>
    <xf numFmtId="3" fontId="4" fillId="0" borderId="2" xfId="2" applyNumberFormat="1" applyFont="1" applyFill="1" applyBorder="1" applyAlignment="1">
      <alignment horizontal="left" indent="1"/>
    </xf>
    <xf numFmtId="3" fontId="4" fillId="0" borderId="3" xfId="2" applyNumberFormat="1" applyFont="1" applyFill="1" applyBorder="1" applyAlignment="1">
      <alignment horizontal="left" indent="1"/>
    </xf>
    <xf numFmtId="3" fontId="4" fillId="0" borderId="4" xfId="2" applyNumberFormat="1" applyFont="1" applyFill="1" applyBorder="1" applyAlignment="1">
      <alignment horizontal="left" indent="1"/>
    </xf>
    <xf numFmtId="3" fontId="4" fillId="0" borderId="5" xfId="2" applyNumberFormat="1" applyFont="1" applyFill="1" applyBorder="1" applyAlignment="1">
      <alignment horizontal="left" indent="1"/>
    </xf>
    <xf numFmtId="3" fontId="3" fillId="0" borderId="6" xfId="2" applyNumberFormat="1" applyFont="1" applyFill="1" applyBorder="1" applyAlignment="1" applyProtection="1">
      <alignment horizontal="left" vertical="center"/>
      <protection locked="0"/>
    </xf>
    <xf numFmtId="3" fontId="3" fillId="0" borderId="1" xfId="2" applyNumberFormat="1" applyFont="1" applyFill="1" applyBorder="1" applyAlignment="1" applyProtection="1">
      <alignment horizontal="center"/>
      <protection locked="0"/>
    </xf>
    <xf numFmtId="3" fontId="4" fillId="0" borderId="2" xfId="1" applyNumberFormat="1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center"/>
    </xf>
    <xf numFmtId="3" fontId="3" fillId="2" borderId="7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3" fontId="4" fillId="0" borderId="6" xfId="1" applyNumberFormat="1" applyFont="1" applyFill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/>
    <xf numFmtId="0" fontId="7" fillId="0" borderId="10" xfId="0" applyFont="1" applyBorder="1"/>
    <xf numFmtId="0" fontId="7" fillId="0" borderId="2" xfId="0" applyFont="1" applyBorder="1"/>
    <xf numFmtId="3" fontId="7" fillId="0" borderId="0" xfId="0" applyNumberFormat="1" applyFont="1"/>
    <xf numFmtId="3" fontId="8" fillId="0" borderId="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1" xfId="0" applyFont="1" applyBorder="1"/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4" fillId="0" borderId="18" xfId="2" applyNumberFormat="1" applyFont="1" applyFill="1" applyBorder="1" applyAlignment="1">
      <alignment horizontal="left" indent="1"/>
    </xf>
    <xf numFmtId="0" fontId="0" fillId="0" borderId="0" xfId="0" applyBorder="1"/>
    <xf numFmtId="3" fontId="7" fillId="0" borderId="0" xfId="0" applyNumberFormat="1" applyFont="1" applyBorder="1"/>
    <xf numFmtId="0" fontId="7" fillId="0" borderId="0" xfId="0" applyFont="1" applyBorder="1"/>
    <xf numFmtId="3" fontId="4" fillId="0" borderId="4" xfId="1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/>
    <xf numFmtId="3" fontId="1" fillId="0" borderId="0" xfId="0" applyNumberFormat="1" applyFont="1" applyFill="1"/>
    <xf numFmtId="0" fontId="11" fillId="0" borderId="0" xfId="0" applyFont="1"/>
    <xf numFmtId="3" fontId="4" fillId="3" borderId="2" xfId="2" applyNumberFormat="1" applyFont="1" applyFill="1" applyBorder="1" applyAlignment="1">
      <alignment horizontal="center"/>
    </xf>
    <xf numFmtId="3" fontId="3" fillId="2" borderId="9" xfId="2" quotePrefix="1" applyNumberFormat="1" applyFont="1" applyFill="1" applyBorder="1" applyAlignment="1" applyProtection="1">
      <alignment horizontal="center"/>
      <protection locked="0"/>
    </xf>
    <xf numFmtId="3" fontId="3" fillId="2" borderId="7" xfId="2" quotePrefix="1" applyNumberFormat="1" applyFont="1" applyFill="1" applyBorder="1" applyAlignment="1" applyProtection="1">
      <alignment horizontal="center"/>
      <protection locked="0"/>
    </xf>
    <xf numFmtId="3" fontId="4" fillId="3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 applyProtection="1">
      <alignment horizontal="center"/>
      <protection locked="0"/>
    </xf>
    <xf numFmtId="3" fontId="3" fillId="0" borderId="6" xfId="2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10" fillId="3" borderId="4" xfId="1" applyNumberFormat="1" applyFont="1" applyFill="1" applyBorder="1" applyAlignment="1">
      <alignment horizontal="center"/>
    </xf>
    <xf numFmtId="3" fontId="4" fillId="4" borderId="2" xfId="2" applyNumberFormat="1" applyFont="1" applyFill="1" applyBorder="1" applyAlignment="1">
      <alignment horizontal="center"/>
    </xf>
    <xf numFmtId="3" fontId="17" fillId="0" borderId="2" xfId="2" applyNumberFormat="1" applyFont="1" applyFill="1" applyBorder="1" applyAlignment="1">
      <alignment horizontal="center"/>
    </xf>
    <xf numFmtId="3" fontId="17" fillId="3" borderId="1" xfId="1" applyNumberFormat="1" applyFont="1" applyFill="1" applyBorder="1" applyAlignment="1">
      <alignment horizontal="center"/>
    </xf>
    <xf numFmtId="3" fontId="17" fillId="3" borderId="2" xfId="1" applyNumberFormat="1" applyFont="1" applyFill="1" applyBorder="1" applyAlignment="1">
      <alignment horizontal="center"/>
    </xf>
    <xf numFmtId="3" fontId="17" fillId="3" borderId="3" xfId="2" applyNumberFormat="1" applyFont="1" applyFill="1" applyBorder="1" applyAlignment="1">
      <alignment horizontal="center"/>
    </xf>
    <xf numFmtId="3" fontId="17" fillId="3" borderId="2" xfId="2" applyNumberFormat="1" applyFont="1" applyFill="1" applyBorder="1" applyAlignment="1">
      <alignment horizontal="center"/>
    </xf>
    <xf numFmtId="3" fontId="17" fillId="3" borderId="18" xfId="2" applyNumberFormat="1" applyFont="1" applyFill="1" applyBorder="1" applyAlignment="1">
      <alignment horizontal="center"/>
    </xf>
    <xf numFmtId="3" fontId="17" fillId="3" borderId="5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87" fontId="12" fillId="0" borderId="7" xfId="1" applyNumberFormat="1" applyFont="1" applyFill="1" applyBorder="1"/>
    <xf numFmtId="3" fontId="3" fillId="0" borderId="19" xfId="2" applyNumberFormat="1" applyFont="1" applyFill="1" applyBorder="1" applyAlignment="1" applyProtection="1">
      <alignment horizontal="left" vertical="center"/>
      <protection locked="0"/>
    </xf>
    <xf numFmtId="3" fontId="3" fillId="0" borderId="4" xfId="1" applyNumberFormat="1" applyFont="1" applyFill="1" applyBorder="1" applyAlignment="1">
      <alignment horizontal="left"/>
    </xf>
    <xf numFmtId="3" fontId="4" fillId="0" borderId="7" xfId="2" quotePrefix="1" applyNumberFormat="1" applyFont="1" applyFill="1" applyBorder="1" applyAlignment="1">
      <alignment horizontal="left" indent="1"/>
    </xf>
    <xf numFmtId="43" fontId="1" fillId="0" borderId="0" xfId="0" applyNumberFormat="1" applyFont="1" applyFill="1"/>
    <xf numFmtId="0" fontId="18" fillId="0" borderId="0" xfId="0" applyFont="1" applyFill="1"/>
    <xf numFmtId="3" fontId="3" fillId="0" borderId="7" xfId="2" quotePrefix="1" applyNumberFormat="1" applyFont="1" applyFill="1" applyBorder="1" applyAlignment="1" applyProtection="1">
      <alignment horizontal="center"/>
      <protection locked="0"/>
    </xf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4" borderId="4" xfId="2" applyNumberFormat="1" applyFont="1" applyFill="1" applyBorder="1" applyAlignment="1">
      <alignment horizontal="center"/>
    </xf>
    <xf numFmtId="3" fontId="3" fillId="0" borderId="19" xfId="1" applyNumberFormat="1" applyFont="1" applyFill="1" applyBorder="1" applyAlignment="1">
      <alignment horizontal="center"/>
    </xf>
    <xf numFmtId="3" fontId="19" fillId="0" borderId="7" xfId="2" applyNumberFormat="1" applyFont="1" applyFill="1" applyBorder="1" applyAlignment="1">
      <alignment horizontal="center"/>
    </xf>
    <xf numFmtId="0" fontId="15" fillId="0" borderId="0" xfId="0" applyFont="1" applyFill="1"/>
    <xf numFmtId="3" fontId="14" fillId="0" borderId="6" xfId="2" applyNumberFormat="1" applyFont="1" applyFill="1" applyBorder="1" applyAlignment="1" applyProtection="1">
      <alignment horizontal="left" vertical="center"/>
      <protection locked="0"/>
    </xf>
    <xf numFmtId="3" fontId="14" fillId="0" borderId="7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left" indent="1"/>
    </xf>
    <xf numFmtId="3" fontId="14" fillId="0" borderId="4" xfId="1" applyNumberFormat="1" applyFont="1" applyFill="1" applyBorder="1" applyAlignment="1">
      <alignment horizontal="left" indent="1"/>
    </xf>
    <xf numFmtId="3" fontId="14" fillId="0" borderId="7" xfId="1" applyNumberFormat="1" applyFont="1" applyFill="1" applyBorder="1" applyAlignment="1">
      <alignment horizontal="left"/>
    </xf>
    <xf numFmtId="3" fontId="15" fillId="0" borderId="3" xfId="2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1"/>
    </xf>
    <xf numFmtId="3" fontId="14" fillId="0" borderId="7" xfId="2" applyNumberFormat="1" applyFont="1" applyFill="1" applyBorder="1" applyAlignment="1">
      <alignment horizontal="left"/>
    </xf>
    <xf numFmtId="3" fontId="14" fillId="0" borderId="7" xfId="2" applyNumberFormat="1" applyFont="1" applyFill="1" applyBorder="1" applyAlignment="1">
      <alignment horizontal="left" indent="1"/>
    </xf>
    <xf numFmtId="3" fontId="15" fillId="0" borderId="4" xfId="2" applyNumberFormat="1" applyFont="1" applyFill="1" applyBorder="1" applyAlignment="1">
      <alignment horizontal="left" indent="1"/>
    </xf>
    <xf numFmtId="187" fontId="14" fillId="0" borderId="9" xfId="2" quotePrefix="1" applyNumberFormat="1" applyFont="1" applyFill="1" applyBorder="1" applyAlignment="1" applyProtection="1">
      <alignment horizontal="center"/>
      <protection locked="0"/>
    </xf>
    <xf numFmtId="187" fontId="14" fillId="0" borderId="7" xfId="2" applyNumberFormat="1" applyFont="1" applyFill="1" applyBorder="1" applyAlignment="1" applyProtection="1">
      <alignment horizontal="center"/>
      <protection locked="0"/>
    </xf>
    <xf numFmtId="187" fontId="14" fillId="0" borderId="7" xfId="1" applyNumberFormat="1" applyFont="1" applyFill="1" applyBorder="1" applyAlignment="1">
      <alignment horizontal="center"/>
    </xf>
    <xf numFmtId="187" fontId="15" fillId="0" borderId="4" xfId="1" applyNumberFormat="1" applyFont="1" applyFill="1" applyBorder="1" applyAlignment="1">
      <alignment horizontal="center"/>
    </xf>
    <xf numFmtId="187" fontId="15" fillId="0" borderId="2" xfId="2" applyNumberFormat="1" applyFont="1" applyFill="1" applyBorder="1" applyAlignment="1">
      <alignment horizontal="center"/>
    </xf>
    <xf numFmtId="187" fontId="15" fillId="0" borderId="3" xfId="2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>
      <alignment horizontal="center"/>
    </xf>
    <xf numFmtId="187" fontId="15" fillId="0" borderId="4" xfId="2" applyNumberFormat="1" applyFont="1" applyFill="1" applyBorder="1" applyAlignment="1">
      <alignment horizontal="center"/>
    </xf>
    <xf numFmtId="187" fontId="15" fillId="0" borderId="0" xfId="0" applyNumberFormat="1" applyFont="1" applyFill="1" applyAlignment="1">
      <alignment horizontal="center"/>
    </xf>
    <xf numFmtId="187" fontId="14" fillId="0" borderId="6" xfId="2" applyNumberFormat="1" applyFont="1" applyFill="1" applyBorder="1" applyAlignment="1" applyProtection="1">
      <alignment horizontal="center" vertical="center"/>
      <protection locked="0"/>
    </xf>
    <xf numFmtId="187" fontId="15" fillId="0" borderId="6" xfId="2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/>
    <xf numFmtId="187" fontId="15" fillId="0" borderId="0" xfId="0" applyNumberFormat="1" applyFont="1" applyFill="1"/>
    <xf numFmtId="3" fontId="15" fillId="0" borderId="7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left"/>
    </xf>
    <xf numFmtId="43" fontId="6" fillId="0" borderId="0" xfId="0" applyNumberFormat="1" applyFont="1" applyFill="1"/>
    <xf numFmtId="3" fontId="14" fillId="0" borderId="7" xfId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>
      <alignment horizontal="right" indent="1"/>
    </xf>
    <xf numFmtId="3" fontId="15" fillId="0" borderId="3" xfId="2" applyNumberFormat="1" applyFont="1" applyFill="1" applyBorder="1" applyAlignment="1">
      <alignment horizontal="right" indent="1"/>
    </xf>
    <xf numFmtId="3" fontId="15" fillId="0" borderId="2" xfId="2" applyNumberFormat="1" applyFont="1" applyFill="1" applyBorder="1" applyAlignment="1">
      <alignment horizontal="right" indent="1"/>
    </xf>
    <xf numFmtId="3" fontId="15" fillId="0" borderId="4" xfId="2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right"/>
    </xf>
    <xf numFmtId="187" fontId="15" fillId="4" borderId="0" xfId="0" applyNumberFormat="1" applyFont="1" applyFill="1"/>
    <xf numFmtId="187" fontId="1" fillId="0" borderId="7" xfId="1" applyNumberFormat="1" applyFont="1" applyFill="1" applyBorder="1"/>
    <xf numFmtId="187" fontId="1" fillId="0" borderId="0" xfId="1" applyNumberFormat="1" applyFont="1" applyFill="1" applyBorder="1"/>
    <xf numFmtId="187" fontId="1" fillId="0" borderId="17" xfId="1" applyNumberFormat="1" applyFont="1" applyFill="1" applyBorder="1"/>
    <xf numFmtId="187" fontId="1" fillId="0" borderId="22" xfId="1" applyNumberFormat="1" applyFont="1" applyFill="1" applyBorder="1"/>
    <xf numFmtId="187" fontId="1" fillId="0" borderId="23" xfId="1" applyNumberFormat="1" applyFont="1" applyFill="1" applyBorder="1"/>
    <xf numFmtId="187" fontId="1" fillId="0" borderId="6" xfId="1" applyNumberFormat="1" applyFont="1" applyFill="1" applyBorder="1"/>
    <xf numFmtId="187" fontId="1" fillId="0" borderId="2" xfId="1" applyNumberFormat="1" applyFont="1" applyFill="1" applyBorder="1"/>
    <xf numFmtId="187" fontId="1" fillId="0" borderId="1" xfId="1" applyNumberFormat="1" applyFont="1" applyFill="1" applyBorder="1"/>
    <xf numFmtId="187" fontId="1" fillId="0" borderId="19" xfId="1" applyNumberFormat="1" applyFont="1" applyFill="1" applyBorder="1"/>
    <xf numFmtId="187" fontId="1" fillId="0" borderId="11" xfId="1" applyNumberFormat="1" applyFont="1" applyFill="1" applyBorder="1"/>
    <xf numFmtId="187" fontId="1" fillId="0" borderId="0" xfId="1" applyNumberFormat="1" applyFont="1" applyFill="1"/>
    <xf numFmtId="3" fontId="0" fillId="0" borderId="0" xfId="0" applyNumberFormat="1"/>
    <xf numFmtId="0" fontId="2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3" fontId="4" fillId="6" borderId="6" xfId="1" applyNumberFormat="1" applyFont="1" applyFill="1" applyBorder="1" applyAlignment="1">
      <alignment horizontal="left" indent="1"/>
    </xf>
    <xf numFmtId="3" fontId="4" fillId="6" borderId="6" xfId="1" applyNumberFormat="1" applyFont="1" applyFill="1" applyBorder="1" applyAlignment="1">
      <alignment horizontal="center"/>
    </xf>
    <xf numFmtId="3" fontId="4" fillId="0" borderId="20" xfId="2" applyNumberFormat="1" applyFont="1" applyFill="1" applyBorder="1" applyAlignment="1">
      <alignment horizontal="center"/>
    </xf>
    <xf numFmtId="3" fontId="4" fillId="0" borderId="24" xfId="2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19" xfId="0" applyFont="1" applyBorder="1"/>
    <xf numFmtId="0" fontId="14" fillId="0" borderId="7" xfId="0" applyFont="1" applyBorder="1" applyAlignment="1">
      <alignment horizontal="center"/>
    </xf>
    <xf numFmtId="0" fontId="14" fillId="0" borderId="0" xfId="0" applyFont="1"/>
    <xf numFmtId="0" fontId="14" fillId="0" borderId="7" xfId="0" applyFont="1" applyBorder="1"/>
    <xf numFmtId="187" fontId="18" fillId="0" borderId="0" xfId="0" applyNumberFormat="1" applyFont="1" applyFill="1"/>
    <xf numFmtId="187" fontId="12" fillId="0" borderId="0" xfId="1" applyNumberFormat="1" applyFont="1" applyFill="1" applyBorder="1"/>
    <xf numFmtId="187" fontId="14" fillId="0" borderId="0" xfId="2" applyNumberFormat="1" applyFont="1" applyFill="1" applyBorder="1" applyAlignment="1" applyProtection="1">
      <alignment horizontal="center"/>
      <protection locked="0"/>
    </xf>
    <xf numFmtId="187" fontId="14" fillId="0" borderId="0" xfId="2" applyNumberFormat="1" applyFont="1" applyFill="1" applyBorder="1" applyAlignment="1" applyProtection="1">
      <alignment horizontal="center" vertical="center"/>
      <protection locked="0"/>
    </xf>
    <xf numFmtId="187" fontId="15" fillId="0" borderId="0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5" fillId="0" borderId="0" xfId="2" applyNumberFormat="1" applyFont="1" applyFill="1" applyBorder="1" applyAlignment="1">
      <alignment horizontal="center"/>
    </xf>
    <xf numFmtId="187" fontId="14" fillId="0" borderId="0" xfId="2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right"/>
    </xf>
    <xf numFmtId="187" fontId="15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87" fontId="15" fillId="0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right"/>
    </xf>
    <xf numFmtId="187" fontId="0" fillId="0" borderId="0" xfId="0" applyNumberFormat="1"/>
    <xf numFmtId="3" fontId="15" fillId="0" borderId="0" xfId="0" applyNumberFormat="1" applyFont="1" applyFill="1"/>
    <xf numFmtId="3" fontId="15" fillId="4" borderId="0" xfId="0" applyNumberFormat="1" applyFont="1" applyFill="1"/>
    <xf numFmtId="0" fontId="14" fillId="0" borderId="0" xfId="0" applyFont="1" applyFill="1" applyBorder="1" applyAlignment="1">
      <alignment horizontal="left"/>
    </xf>
    <xf numFmtId="187" fontId="15" fillId="0" borderId="7" xfId="0" applyNumberFormat="1" applyFont="1" applyFill="1" applyBorder="1" applyAlignment="1">
      <alignment horizontal="center"/>
    </xf>
    <xf numFmtId="187" fontId="15" fillId="0" borderId="7" xfId="1" applyNumberFormat="1" applyFont="1" applyFill="1" applyBorder="1" applyAlignment="1">
      <alignment horizontal="left"/>
    </xf>
    <xf numFmtId="187" fontId="15" fillId="0" borderId="7" xfId="1" applyNumberFormat="1" applyFont="1" applyFill="1" applyBorder="1" applyAlignment="1">
      <alignment horizontal="center"/>
    </xf>
    <xf numFmtId="187" fontId="15" fillId="0" borderId="0" xfId="1" applyNumberFormat="1" applyFont="1" applyFill="1" applyBorder="1" applyAlignment="1">
      <alignment horizontal="left"/>
    </xf>
    <xf numFmtId="187" fontId="14" fillId="0" borderId="0" xfId="1" applyNumberFormat="1" applyFont="1" applyFill="1" applyBorder="1" applyAlignment="1">
      <alignment horizontal="left"/>
    </xf>
    <xf numFmtId="187" fontId="15" fillId="0" borderId="0" xfId="2" applyNumberFormat="1" applyFont="1" applyFill="1" applyBorder="1" applyAlignment="1">
      <alignment horizontal="left"/>
    </xf>
    <xf numFmtId="187" fontId="14" fillId="0" borderId="0" xfId="2" applyNumberFormat="1" applyFont="1" applyFill="1" applyBorder="1" applyAlignment="1">
      <alignment horizontal="left"/>
    </xf>
    <xf numFmtId="187" fontId="15" fillId="0" borderId="0" xfId="0" applyNumberFormat="1" applyFont="1" applyFill="1" applyAlignment="1">
      <alignment horizontal="left"/>
    </xf>
    <xf numFmtId="187" fontId="15" fillId="0" borderId="0" xfId="0" quotePrefix="1" applyNumberFormat="1" applyFont="1" applyFill="1" applyAlignment="1">
      <alignment horizontal="center"/>
    </xf>
    <xf numFmtId="0" fontId="15" fillId="0" borderId="8" xfId="0" applyFont="1" applyFill="1" applyBorder="1" applyAlignment="1">
      <alignment horizontal="center"/>
    </xf>
    <xf numFmtId="187" fontId="14" fillId="0" borderId="7" xfId="1" applyNumberFormat="1" applyFont="1" applyFill="1" applyBorder="1" applyAlignment="1">
      <alignment horizontal="left"/>
    </xf>
    <xf numFmtId="3" fontId="15" fillId="0" borderId="0" xfId="1" applyNumberFormat="1" applyFont="1" applyFill="1" applyBorder="1" applyAlignment="1">
      <alignment horizontal="left" indent="1"/>
    </xf>
    <xf numFmtId="3" fontId="15" fillId="0" borderId="0" xfId="1" applyNumberFormat="1" applyFont="1" applyFill="1" applyBorder="1" applyAlignment="1">
      <alignment horizontal="right" indent="1"/>
    </xf>
    <xf numFmtId="187" fontId="23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center"/>
    </xf>
    <xf numFmtId="187" fontId="23" fillId="0" borderId="7" xfId="1" applyNumberFormat="1" applyFont="1" applyFill="1" applyBorder="1" applyAlignment="1">
      <alignment horizontal="left"/>
    </xf>
    <xf numFmtId="187" fontId="23" fillId="0" borderId="7" xfId="1" applyNumberFormat="1" applyFont="1" applyFill="1" applyBorder="1" applyAlignment="1">
      <alignment horizontal="center"/>
    </xf>
    <xf numFmtId="187" fontId="20" fillId="0" borderId="7" xfId="1" applyNumberFormat="1" applyFont="1" applyFill="1" applyBorder="1" applyAlignment="1">
      <alignment horizontal="left"/>
    </xf>
    <xf numFmtId="187" fontId="20" fillId="0" borderId="7" xfId="1" applyNumberFormat="1" applyFont="1" applyFill="1" applyBorder="1" applyAlignment="1">
      <alignment horizontal="center"/>
    </xf>
    <xf numFmtId="187" fontId="20" fillId="0" borderId="7" xfId="0" applyNumberFormat="1" applyFont="1" applyFill="1" applyBorder="1" applyAlignment="1">
      <alignment horizontal="center"/>
    </xf>
    <xf numFmtId="3" fontId="17" fillId="0" borderId="5" xfId="2" applyNumberFormat="1" applyFont="1" applyFill="1" applyBorder="1" applyAlignment="1">
      <alignment horizontal="center"/>
    </xf>
    <xf numFmtId="3" fontId="17" fillId="0" borderId="4" xfId="2" applyNumberFormat="1" applyFont="1" applyFill="1" applyBorder="1" applyAlignment="1">
      <alignment horizontal="center"/>
    </xf>
    <xf numFmtId="3" fontId="17" fillId="0" borderId="2" xfId="1" applyNumberFormat="1" applyFont="1" applyFill="1" applyBorder="1" applyAlignment="1">
      <alignment horizontal="center"/>
    </xf>
    <xf numFmtId="0" fontId="18" fillId="3" borderId="0" xfId="0" applyFont="1" applyFill="1"/>
    <xf numFmtId="3" fontId="17" fillId="0" borderId="3" xfId="2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0" xfId="2" applyNumberFormat="1" applyFont="1" applyFill="1" applyBorder="1" applyAlignment="1" applyProtection="1">
      <alignment horizontal="left" vertical="center"/>
      <protection locked="0"/>
    </xf>
    <xf numFmtId="3" fontId="3" fillId="0" borderId="22" xfId="2" applyNumberFormat="1" applyFont="1" applyFill="1" applyBorder="1" applyAlignment="1" applyProtection="1">
      <alignment horizontal="left" vertical="center"/>
      <protection locked="0"/>
    </xf>
    <xf numFmtId="3" fontId="3" fillId="0" borderId="6" xfId="1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left" indent="1"/>
    </xf>
    <xf numFmtId="3" fontId="4" fillId="0" borderId="11" xfId="2" quotePrefix="1" applyNumberFormat="1" applyFont="1" applyFill="1" applyBorder="1" applyAlignment="1">
      <alignment horizontal="left" indent="1"/>
    </xf>
    <xf numFmtId="187" fontId="23" fillId="0" borderId="0" xfId="1" applyNumberFormat="1" applyFont="1" applyFill="1" applyBorder="1" applyAlignment="1">
      <alignment horizontal="center"/>
    </xf>
    <xf numFmtId="187" fontId="23" fillId="0" borderId="0" xfId="1" applyNumberFormat="1" applyFont="1" applyFill="1" applyBorder="1" applyAlignment="1">
      <alignment horizontal="left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4" borderId="7" xfId="1" applyNumberFormat="1" applyFont="1" applyFill="1" applyBorder="1" applyAlignment="1">
      <alignment horizontal="center"/>
    </xf>
    <xf numFmtId="187" fontId="15" fillId="4" borderId="7" xfId="1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3" fontId="12" fillId="0" borderId="0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0" fillId="0" borderId="1" xfId="0" applyFont="1" applyBorder="1"/>
    <xf numFmtId="0" fontId="20" fillId="0" borderId="2" xfId="0" applyFont="1" applyBorder="1"/>
    <xf numFmtId="0" fontId="20" fillId="0" borderId="19" xfId="0" applyFont="1" applyBorder="1"/>
    <xf numFmtId="0" fontId="23" fillId="0" borderId="7" xfId="0" applyFont="1" applyBorder="1"/>
    <xf numFmtId="0" fontId="20" fillId="0" borderId="0" xfId="0" applyFont="1"/>
    <xf numFmtId="0" fontId="21" fillId="0" borderId="0" xfId="0" applyFont="1"/>
    <xf numFmtId="187" fontId="1" fillId="0" borderId="0" xfId="0" applyNumberFormat="1" applyFont="1" applyFill="1"/>
    <xf numFmtId="0" fontId="1" fillId="0" borderId="0" xfId="0" applyFont="1"/>
    <xf numFmtId="187" fontId="14" fillId="8" borderId="7" xfId="1" applyNumberFormat="1" applyFont="1" applyFill="1" applyBorder="1" applyAlignment="1">
      <alignment horizontal="center"/>
    </xf>
    <xf numFmtId="187" fontId="14" fillId="8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center"/>
    </xf>
    <xf numFmtId="187" fontId="15" fillId="8" borderId="7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0" borderId="7" xfId="0" applyNumberFormat="1" applyFont="1" applyFill="1" applyBorder="1" applyAlignment="1"/>
    <xf numFmtId="187" fontId="23" fillId="0" borderId="7" xfId="2" applyNumberFormat="1" applyFont="1" applyFill="1" applyBorder="1" applyAlignment="1" applyProtection="1">
      <alignment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14" fillId="0" borderId="9" xfId="1" applyNumberFormat="1" applyFont="1" applyFill="1" applyBorder="1" applyAlignment="1">
      <alignment horizontal="center"/>
    </xf>
    <xf numFmtId="187" fontId="14" fillId="0" borderId="11" xfId="1" applyNumberFormat="1" applyFont="1" applyFill="1" applyBorder="1" applyAlignment="1">
      <alignment horizontal="center"/>
    </xf>
    <xf numFmtId="187" fontId="14" fillId="0" borderId="13" xfId="1" applyNumberFormat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left" indent="1"/>
    </xf>
    <xf numFmtId="3" fontId="15" fillId="0" borderId="1" xfId="1" applyNumberFormat="1" applyFont="1" applyFill="1" applyBorder="1" applyAlignment="1">
      <alignment horizontal="right" indent="1"/>
    </xf>
    <xf numFmtId="187" fontId="15" fillId="0" borderId="1" xfId="1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left" indent="1"/>
    </xf>
    <xf numFmtId="3" fontId="15" fillId="0" borderId="2" xfId="1" applyNumberFormat="1" applyFont="1" applyFill="1" applyBorder="1" applyAlignment="1">
      <alignment horizontal="right" indent="1"/>
    </xf>
    <xf numFmtId="187" fontId="15" fillId="0" borderId="2" xfId="1" applyNumberFormat="1" applyFont="1" applyFill="1" applyBorder="1" applyAlignment="1">
      <alignment horizontal="center"/>
    </xf>
    <xf numFmtId="3" fontId="15" fillId="0" borderId="6" xfId="1" applyNumberFormat="1" applyFont="1" applyFill="1" applyBorder="1" applyAlignment="1">
      <alignment horizontal="right" indent="1"/>
    </xf>
    <xf numFmtId="187" fontId="15" fillId="0" borderId="6" xfId="1" applyNumberFormat="1" applyFont="1" applyFill="1" applyBorder="1" applyAlignment="1">
      <alignment horizontal="center"/>
    </xf>
    <xf numFmtId="3" fontId="25" fillId="0" borderId="0" xfId="0" applyNumberFormat="1" applyFont="1" applyFill="1"/>
    <xf numFmtId="43" fontId="15" fillId="0" borderId="2" xfId="1" applyFont="1" applyFill="1" applyBorder="1" applyAlignment="1">
      <alignment horizontal="right" indent="1"/>
    </xf>
    <xf numFmtId="3" fontId="15" fillId="4" borderId="4" xfId="1" applyNumberFormat="1" applyFont="1" applyFill="1" applyBorder="1" applyAlignment="1">
      <alignment horizontal="right" indent="1"/>
    </xf>
    <xf numFmtId="3" fontId="15" fillId="4" borderId="0" xfId="1" applyNumberFormat="1" applyFont="1" applyFill="1" applyBorder="1" applyAlignment="1">
      <alignment horizontal="right" indent="1"/>
    </xf>
    <xf numFmtId="3" fontId="15" fillId="0" borderId="6" xfId="2" applyNumberFormat="1" applyFont="1" applyFill="1" applyBorder="1" applyAlignment="1">
      <alignment horizontal="left" indent="1"/>
    </xf>
    <xf numFmtId="3" fontId="15" fillId="0" borderId="6" xfId="2" applyNumberFormat="1" applyFont="1" applyFill="1" applyBorder="1" applyAlignment="1">
      <alignment horizontal="right" indent="1"/>
    </xf>
    <xf numFmtId="0" fontId="15" fillId="4" borderId="0" xfId="0" applyFont="1" applyFill="1"/>
    <xf numFmtId="0" fontId="15" fillId="0" borderId="2" xfId="2" applyNumberFormat="1" applyFont="1" applyFill="1" applyBorder="1" applyAlignment="1">
      <alignment horizontal="center"/>
    </xf>
    <xf numFmtId="187" fontId="1" fillId="0" borderId="7" xfId="1" quotePrefix="1" applyNumberFormat="1" applyFont="1" applyFill="1" applyBorder="1" applyAlignment="1">
      <alignment horizontal="center"/>
    </xf>
    <xf numFmtId="187" fontId="1" fillId="0" borderId="7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 indent="1"/>
    </xf>
    <xf numFmtId="187" fontId="1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left"/>
    </xf>
    <xf numFmtId="187" fontId="1" fillId="0" borderId="20" xfId="1" applyNumberFormat="1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87" fontId="1" fillId="5" borderId="24" xfId="1" applyNumberFormat="1" applyFont="1" applyFill="1" applyBorder="1"/>
    <xf numFmtId="0" fontId="1" fillId="0" borderId="6" xfId="0" applyFont="1" applyFill="1" applyBorder="1"/>
    <xf numFmtId="3" fontId="4" fillId="0" borderId="19" xfId="2" applyNumberFormat="1" applyFont="1" applyFill="1" applyBorder="1" applyAlignment="1">
      <alignment horizontal="center"/>
    </xf>
    <xf numFmtId="3" fontId="4" fillId="6" borderId="5" xfId="2" applyNumberFormat="1" applyFont="1" applyFill="1" applyBorder="1" applyAlignment="1">
      <alignment horizontal="left" indent="1"/>
    </xf>
    <xf numFmtId="3" fontId="4" fillId="0" borderId="18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4" borderId="0" xfId="0" applyFont="1" applyFill="1"/>
    <xf numFmtId="3" fontId="14" fillId="8" borderId="7" xfId="2" applyNumberFormat="1" applyFont="1" applyFill="1" applyBorder="1" applyAlignment="1">
      <alignment horizontal="center"/>
    </xf>
    <xf numFmtId="187" fontId="14" fillId="8" borderId="7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1" fillId="0" borderId="0" xfId="1" applyNumberFormat="1" applyFont="1" applyFill="1" applyBorder="1" applyAlignment="1">
      <alignment horizontal="center"/>
    </xf>
    <xf numFmtId="0" fontId="1" fillId="0" borderId="20" xfId="0" applyFont="1" applyFill="1" applyBorder="1"/>
    <xf numFmtId="43" fontId="12" fillId="0" borderId="6" xfId="0" applyNumberFormat="1" applyFont="1" applyFill="1" applyBorder="1"/>
    <xf numFmtId="3" fontId="12" fillId="4" borderId="7" xfId="2" applyNumberFormat="1" applyFont="1" applyFill="1" applyBorder="1" applyAlignment="1">
      <alignment horizontal="center"/>
    </xf>
    <xf numFmtId="0" fontId="1" fillId="6" borderId="0" xfId="0" applyFont="1" applyFill="1"/>
    <xf numFmtId="0" fontId="1" fillId="6" borderId="9" xfId="0" applyFont="1" applyFill="1" applyBorder="1"/>
    <xf numFmtId="0" fontId="1" fillId="6" borderId="11" xfId="0" applyFont="1" applyFill="1" applyBorder="1"/>
    <xf numFmtId="0" fontId="1" fillId="6" borderId="13" xfId="0" applyFont="1" applyFill="1" applyBorder="1"/>
    <xf numFmtId="0" fontId="1" fillId="6" borderId="8" xfId="0" applyFont="1" applyFill="1" applyBorder="1"/>
    <xf numFmtId="0" fontId="1" fillId="6" borderId="0" xfId="0" applyFont="1" applyFill="1" applyBorder="1"/>
    <xf numFmtId="0" fontId="1" fillId="6" borderId="17" xfId="0" applyFont="1" applyFill="1" applyBorder="1"/>
    <xf numFmtId="3" fontId="1" fillId="6" borderId="21" xfId="0" applyNumberFormat="1" applyFont="1" applyFill="1" applyBorder="1"/>
    <xf numFmtId="3" fontId="1" fillId="6" borderId="22" xfId="0" applyNumberFormat="1" applyFont="1" applyFill="1" applyBorder="1"/>
    <xf numFmtId="0" fontId="1" fillId="6" borderId="23" xfId="0" applyFont="1" applyFill="1" applyBorder="1"/>
    <xf numFmtId="3" fontId="12" fillId="7" borderId="8" xfId="1" applyNumberFormat="1" applyFont="1" applyFill="1" applyBorder="1" applyAlignment="1">
      <alignment horizontal="center"/>
    </xf>
    <xf numFmtId="3" fontId="12" fillId="7" borderId="0" xfId="1" applyNumberFormat="1" applyFont="1" applyFill="1" applyBorder="1" applyAlignment="1">
      <alignment horizontal="center"/>
    </xf>
    <xf numFmtId="187" fontId="1" fillId="0" borderId="14" xfId="1" applyNumberFormat="1" applyFont="1" applyFill="1" applyBorder="1"/>
    <xf numFmtId="3" fontId="15" fillId="0" borderId="6" xfId="1" applyNumberFormat="1" applyFont="1" applyFill="1" applyBorder="1" applyAlignment="1">
      <alignment horizontal="left" indent="1"/>
    </xf>
    <xf numFmtId="0" fontId="1" fillId="0" borderId="25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/>
    <xf numFmtId="3" fontId="4" fillId="0" borderId="9" xfId="2" quotePrefix="1" applyNumberFormat="1" applyFont="1" applyFill="1" applyBorder="1" applyAlignment="1">
      <alignment horizontal="left" indent="1"/>
    </xf>
    <xf numFmtId="187" fontId="1" fillId="0" borderId="9" xfId="1" applyNumberFormat="1" applyFont="1" applyFill="1" applyBorder="1"/>
    <xf numFmtId="3" fontId="4" fillId="0" borderId="1" xfId="2" quotePrefix="1" applyNumberFormat="1" applyFont="1" applyFill="1" applyBorder="1" applyAlignment="1">
      <alignment horizontal="left" indent="1"/>
    </xf>
    <xf numFmtId="3" fontId="4" fillId="0" borderId="14" xfId="2" quotePrefix="1" applyNumberFormat="1" applyFont="1" applyFill="1" applyBorder="1" applyAlignment="1">
      <alignment horizontal="left" indent="1"/>
    </xf>
    <xf numFmtId="3" fontId="15" fillId="0" borderId="3" xfId="1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3"/>
    </xf>
    <xf numFmtId="3" fontId="1" fillId="0" borderId="0" xfId="0" applyNumberFormat="1" applyFont="1"/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8" fillId="0" borderId="14" xfId="1" applyNumberFormat="1" applyFont="1" applyFill="1" applyBorder="1"/>
    <xf numFmtId="187" fontId="18" fillId="0" borderId="25" xfId="1" applyNumberFormat="1" applyFont="1" applyFill="1" applyBorder="1"/>
    <xf numFmtId="187" fontId="18" fillId="0" borderId="15" xfId="1" applyNumberFormat="1" applyFont="1" applyFill="1" applyBorder="1"/>
    <xf numFmtId="187" fontId="18" fillId="0" borderId="8" xfId="1" applyNumberFormat="1" applyFont="1" applyFill="1" applyBorder="1"/>
    <xf numFmtId="187" fontId="18" fillId="0" borderId="0" xfId="1" applyNumberFormat="1" applyFont="1" applyFill="1" applyBorder="1"/>
    <xf numFmtId="187" fontId="18" fillId="0" borderId="17" xfId="1" applyNumberFormat="1" applyFont="1" applyFill="1" applyBorder="1"/>
    <xf numFmtId="187" fontId="18" fillId="0" borderId="21" xfId="1" applyNumberFormat="1" applyFont="1" applyFill="1" applyBorder="1"/>
    <xf numFmtId="187" fontId="18" fillId="0" borderId="22" xfId="1" applyNumberFormat="1" applyFont="1" applyFill="1" applyBorder="1"/>
    <xf numFmtId="187" fontId="18" fillId="0" borderId="23" xfId="1" applyNumberFormat="1" applyFont="1" applyFill="1" applyBorder="1"/>
    <xf numFmtId="0" fontId="15" fillId="4" borderId="21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87" fontId="18" fillId="0" borderId="7" xfId="0" applyNumberFormat="1" applyFont="1" applyFill="1" applyBorder="1" applyAlignment="1">
      <alignment horizontal="center"/>
    </xf>
    <xf numFmtId="187" fontId="18" fillId="0" borderId="7" xfId="1" applyNumberFormat="1" applyFont="1" applyFill="1" applyBorder="1" applyAlignment="1">
      <alignment horizontal="left"/>
    </xf>
    <xf numFmtId="187" fontId="18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left"/>
    </xf>
    <xf numFmtId="0" fontId="18" fillId="0" borderId="7" xfId="0" applyFont="1" applyFill="1" applyBorder="1"/>
    <xf numFmtId="3" fontId="18" fillId="0" borderId="7" xfId="0" applyNumberFormat="1" applyFont="1" applyFill="1" applyBorder="1"/>
    <xf numFmtId="3" fontId="18" fillId="0" borderId="7" xfId="1" applyNumberFormat="1" applyFont="1" applyFill="1" applyBorder="1" applyAlignment="1">
      <alignment horizontal="center"/>
    </xf>
    <xf numFmtId="3" fontId="26" fillId="0" borderId="7" xfId="1" applyNumberFormat="1" applyFont="1" applyFill="1" applyBorder="1" applyAlignment="1">
      <alignment horizontal="center"/>
    </xf>
    <xf numFmtId="187" fontId="26" fillId="0" borderId="7" xfId="0" applyNumberFormat="1" applyFont="1" applyFill="1" applyBorder="1"/>
    <xf numFmtId="0" fontId="18" fillId="4" borderId="14" xfId="0" applyFont="1" applyFill="1" applyBorder="1"/>
    <xf numFmtId="3" fontId="27" fillId="0" borderId="2" xfId="1" applyNumberFormat="1" applyFont="1" applyFill="1" applyBorder="1" applyAlignment="1">
      <alignment horizontal="left" indent="1"/>
    </xf>
    <xf numFmtId="3" fontId="20" fillId="4" borderId="4" xfId="1" applyNumberFormat="1" applyFont="1" applyFill="1" applyBorder="1" applyAlignment="1">
      <alignment horizontal="left" indent="1"/>
    </xf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187" fontId="1" fillId="0" borderId="15" xfId="1" applyNumberFormat="1" applyFont="1" applyFill="1" applyBorder="1"/>
    <xf numFmtId="0" fontId="15" fillId="0" borderId="21" xfId="0" applyFont="1" applyFill="1" applyBorder="1"/>
    <xf numFmtId="0" fontId="14" fillId="0" borderId="7" xfId="0" applyFont="1" applyBorder="1" applyAlignment="1">
      <alignment horizontal="center"/>
    </xf>
    <xf numFmtId="0" fontId="1" fillId="4" borderId="25" xfId="0" applyFont="1" applyFill="1" applyBorder="1"/>
    <xf numFmtId="0" fontId="15" fillId="0" borderId="5" xfId="0" applyFont="1" applyBorder="1"/>
    <xf numFmtId="0" fontId="15" fillId="0" borderId="4" xfId="0" applyFont="1" applyBorder="1"/>
    <xf numFmtId="0" fontId="16" fillId="0" borderId="0" xfId="0" applyFont="1"/>
    <xf numFmtId="187" fontId="15" fillId="0" borderId="5" xfId="1" applyNumberFormat="1" applyFont="1" applyBorder="1"/>
    <xf numFmtId="3" fontId="15" fillId="0" borderId="4" xfId="0" applyNumberFormat="1" applyFont="1" applyBorder="1"/>
    <xf numFmtId="187" fontId="14" fillId="0" borderId="7" xfId="0" applyNumberFormat="1" applyFont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7" xfId="2" quotePrefix="1" applyNumberFormat="1" applyFont="1" applyFill="1" applyBorder="1" applyAlignment="1" applyProtection="1">
      <alignment horizontal="center"/>
      <protection locked="0"/>
    </xf>
    <xf numFmtId="3" fontId="14" fillId="2" borderId="9" xfId="2" quotePrefix="1" applyNumberFormat="1" applyFont="1" applyFill="1" applyBorder="1" applyAlignment="1" applyProtection="1">
      <alignment horizontal="center"/>
      <protection locked="0"/>
    </xf>
    <xf numFmtId="3" fontId="14" fillId="2" borderId="7" xfId="2" quotePrefix="1" applyNumberFormat="1" applyFont="1" applyFill="1" applyBorder="1" applyAlignment="1" applyProtection="1">
      <alignment horizontal="center"/>
      <protection locked="0"/>
    </xf>
    <xf numFmtId="3" fontId="14" fillId="0" borderId="7" xfId="2" applyNumberFormat="1" applyFont="1" applyFill="1" applyBorder="1" applyAlignment="1" applyProtection="1">
      <alignment horizontal="center"/>
      <protection locked="0"/>
    </xf>
    <xf numFmtId="3" fontId="14" fillId="2" borderId="7" xfId="2" applyNumberFormat="1" applyFont="1" applyFill="1" applyBorder="1" applyAlignment="1" applyProtection="1">
      <alignment horizontal="center"/>
      <protection locked="0"/>
    </xf>
    <xf numFmtId="3" fontId="14" fillId="0" borderId="1" xfId="2" applyNumberFormat="1" applyFont="1" applyFill="1" applyBorder="1" applyAlignment="1" applyProtection="1">
      <alignment horizontal="left" vertical="center"/>
      <protection locked="0"/>
    </xf>
    <xf numFmtId="3" fontId="14" fillId="0" borderId="1" xfId="2" applyNumberFormat="1" applyFont="1" applyFill="1" applyBorder="1" applyAlignment="1" applyProtection="1">
      <alignment horizontal="center"/>
      <protection locked="0"/>
    </xf>
    <xf numFmtId="3" fontId="14" fillId="0" borderId="6" xfId="2" applyNumberFormat="1" applyFont="1" applyFill="1" applyBorder="1" applyAlignment="1" applyProtection="1">
      <alignment horizontal="center"/>
      <protection locked="0"/>
    </xf>
    <xf numFmtId="3" fontId="15" fillId="3" borderId="1" xfId="1" applyNumberFormat="1" applyFont="1" applyFill="1" applyBorder="1" applyAlignment="1">
      <alignment horizontal="center"/>
    </xf>
    <xf numFmtId="3" fontId="15" fillId="0" borderId="4" xfId="2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center"/>
    </xf>
    <xf numFmtId="3" fontId="15" fillId="3" borderId="2" xfId="1" applyNumberFormat="1" applyFont="1" applyFill="1" applyBorder="1" applyAlignment="1">
      <alignment horizontal="center"/>
    </xf>
    <xf numFmtId="0" fontId="15" fillId="3" borderId="0" xfId="0" applyFont="1" applyFill="1"/>
    <xf numFmtId="3" fontId="15" fillId="6" borderId="6" xfId="1" applyNumberFormat="1" applyFont="1" applyFill="1" applyBorder="1" applyAlignment="1">
      <alignment horizontal="left" indent="1"/>
    </xf>
    <xf numFmtId="187" fontId="15" fillId="0" borderId="3" xfId="1" applyNumberFormat="1" applyFont="1" applyFill="1" applyBorder="1"/>
    <xf numFmtId="187" fontId="15" fillId="5" borderId="24" xfId="1" applyNumberFormat="1" applyFont="1" applyFill="1" applyBorder="1"/>
    <xf numFmtId="3" fontId="15" fillId="6" borderId="6" xfId="1" applyNumberFormat="1" applyFont="1" applyFill="1" applyBorder="1" applyAlignment="1">
      <alignment horizontal="center"/>
    </xf>
    <xf numFmtId="3" fontId="15" fillId="3" borderId="4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center"/>
    </xf>
    <xf numFmtId="0" fontId="15" fillId="0" borderId="7" xfId="0" applyFont="1" applyFill="1" applyBorder="1"/>
    <xf numFmtId="3" fontId="15" fillId="0" borderId="7" xfId="0" applyNumberFormat="1" applyFont="1" applyFill="1" applyBorder="1"/>
    <xf numFmtId="3" fontId="14" fillId="4" borderId="4" xfId="2" applyNumberFormat="1" applyFont="1" applyFill="1" applyBorder="1" applyAlignment="1">
      <alignment horizontal="center"/>
    </xf>
    <xf numFmtId="3" fontId="14" fillId="0" borderId="6" xfId="1" applyNumberFormat="1" applyFont="1" applyFill="1" applyBorder="1" applyAlignment="1">
      <alignment horizontal="center"/>
    </xf>
    <xf numFmtId="3" fontId="15" fillId="0" borderId="7" xfId="1" applyNumberFormat="1" applyFont="1" applyFill="1" applyBorder="1" applyAlignment="1">
      <alignment horizontal="center"/>
    </xf>
    <xf numFmtId="3" fontId="14" fillId="0" borderId="5" xfId="2" applyNumberFormat="1" applyFont="1" applyFill="1" applyBorder="1" applyAlignment="1">
      <alignment horizontal="left"/>
    </xf>
    <xf numFmtId="3" fontId="15" fillId="0" borderId="5" xfId="2" applyNumberFormat="1" applyFont="1" applyFill="1" applyBorder="1" applyAlignment="1">
      <alignment horizontal="center"/>
    </xf>
    <xf numFmtId="3" fontId="15" fillId="0" borderId="20" xfId="2" applyNumberFormat="1" applyFont="1" applyFill="1" applyBorder="1" applyAlignment="1">
      <alignment horizontal="center"/>
    </xf>
    <xf numFmtId="3" fontId="15" fillId="0" borderId="6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187" fontId="14" fillId="0" borderId="7" xfId="0" applyNumberFormat="1" applyFont="1" applyFill="1" applyBorder="1"/>
    <xf numFmtId="3" fontId="15" fillId="0" borderId="3" xfId="2" applyNumberFormat="1" applyFont="1" applyFill="1" applyBorder="1" applyAlignment="1">
      <alignment horizontal="center"/>
    </xf>
    <xf numFmtId="3" fontId="15" fillId="0" borderId="24" xfId="2" applyNumberFormat="1" applyFont="1" applyFill="1" applyBorder="1" applyAlignment="1">
      <alignment horizontal="center"/>
    </xf>
    <xf numFmtId="3" fontId="15" fillId="3" borderId="3" xfId="2" applyNumberFormat="1" applyFont="1" applyFill="1" applyBorder="1" applyAlignment="1">
      <alignment horizontal="center"/>
    </xf>
    <xf numFmtId="3" fontId="15" fillId="0" borderId="10" xfId="2" applyNumberFormat="1" applyFont="1" applyFill="1" applyBorder="1" applyAlignment="1">
      <alignment horizontal="center"/>
    </xf>
    <xf numFmtId="3" fontId="14" fillId="0" borderId="7" xfId="2" applyNumberFormat="1" applyFont="1" applyFill="1" applyBorder="1" applyAlignment="1">
      <alignment horizontal="center"/>
    </xf>
    <xf numFmtId="3" fontId="14" fillId="0" borderId="8" xfId="2" applyNumberFormat="1" applyFont="1" applyFill="1" applyBorder="1" applyAlignment="1">
      <alignment horizontal="center"/>
    </xf>
    <xf numFmtId="3" fontId="14" fillId="0" borderId="0" xfId="2" applyNumberFormat="1" applyFont="1" applyFill="1" applyBorder="1" applyAlignment="1">
      <alignment horizontal="center"/>
    </xf>
    <xf numFmtId="3" fontId="14" fillId="4" borderId="7" xfId="2" applyNumberFormat="1" applyFont="1" applyFill="1" applyBorder="1" applyAlignment="1">
      <alignment horizontal="center"/>
    </xf>
    <xf numFmtId="3" fontId="14" fillId="0" borderId="1" xfId="2" applyNumberFormat="1" applyFont="1" applyFill="1" applyBorder="1" applyAlignment="1">
      <alignment horizontal="left"/>
    </xf>
    <xf numFmtId="3" fontId="15" fillId="0" borderId="1" xfId="2" applyNumberFormat="1" applyFont="1" applyFill="1" applyBorder="1" applyAlignment="1">
      <alignment horizontal="center"/>
    </xf>
    <xf numFmtId="3" fontId="15" fillId="0" borderId="5" xfId="2" applyNumberFormat="1" applyFont="1" applyFill="1" applyBorder="1" applyAlignment="1">
      <alignment horizontal="left" indent="1"/>
    </xf>
    <xf numFmtId="3" fontId="15" fillId="3" borderId="2" xfId="2" applyNumberFormat="1" applyFont="1" applyFill="1" applyBorder="1" applyAlignment="1">
      <alignment horizontal="center"/>
    </xf>
    <xf numFmtId="3" fontId="15" fillId="4" borderId="2" xfId="2" applyNumberFormat="1" applyFont="1" applyFill="1" applyBorder="1" applyAlignment="1">
      <alignment horizontal="center"/>
    </xf>
    <xf numFmtId="3" fontId="15" fillId="0" borderId="18" xfId="2" applyNumberFormat="1" applyFont="1" applyFill="1" applyBorder="1" applyAlignment="1">
      <alignment horizontal="left" indent="1"/>
    </xf>
    <xf numFmtId="3" fontId="15" fillId="3" borderId="18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left"/>
    </xf>
    <xf numFmtId="0" fontId="15" fillId="6" borderId="9" xfId="0" applyFont="1" applyFill="1" applyBorder="1"/>
    <xf numFmtId="0" fontId="15" fillId="6" borderId="11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15" fillId="6" borderId="0" xfId="0" applyFont="1" applyFill="1" applyBorder="1"/>
    <xf numFmtId="0" fontId="15" fillId="6" borderId="17" xfId="0" applyFont="1" applyFill="1" applyBorder="1"/>
    <xf numFmtId="3" fontId="15" fillId="6" borderId="21" xfId="0" applyNumberFormat="1" applyFont="1" applyFill="1" applyBorder="1"/>
    <xf numFmtId="3" fontId="15" fillId="6" borderId="22" xfId="0" applyNumberFormat="1" applyFont="1" applyFill="1" applyBorder="1"/>
    <xf numFmtId="0" fontId="15" fillId="6" borderId="23" xfId="0" applyFont="1" applyFill="1" applyBorder="1"/>
    <xf numFmtId="3" fontId="14" fillId="0" borderId="19" xfId="1" applyNumberFormat="1" applyFont="1" applyFill="1" applyBorder="1" applyAlignment="1">
      <alignment horizontal="center"/>
    </xf>
    <xf numFmtId="3" fontId="14" fillId="7" borderId="8" xfId="1" applyNumberFormat="1" applyFont="1" applyFill="1" applyBorder="1" applyAlignment="1">
      <alignment horizontal="center"/>
    </xf>
    <xf numFmtId="3" fontId="14" fillId="7" borderId="0" xfId="1" applyNumberFormat="1" applyFont="1" applyFill="1" applyBorder="1" applyAlignment="1">
      <alignment horizontal="center"/>
    </xf>
    <xf numFmtId="43" fontId="15" fillId="0" borderId="0" xfId="0" applyNumberFormat="1" applyFont="1" applyFill="1"/>
    <xf numFmtId="187" fontId="20" fillId="0" borderId="0" xfId="0" applyNumberFormat="1" applyFont="1" applyFill="1" applyAlignment="1">
      <alignment horizontal="center"/>
    </xf>
    <xf numFmtId="187" fontId="20" fillId="0" borderId="0" xfId="0" applyNumberFormat="1" applyFont="1" applyFill="1" applyAlignment="1">
      <alignment horizontal="left"/>
    </xf>
    <xf numFmtId="3" fontId="15" fillId="4" borderId="4" xfId="1" applyNumberFormat="1" applyFont="1" applyFill="1" applyBorder="1" applyAlignment="1">
      <alignment horizontal="left" indent="1"/>
    </xf>
    <xf numFmtId="187" fontId="15" fillId="0" borderId="0" xfId="1" applyNumberFormat="1" applyFont="1" applyFill="1"/>
    <xf numFmtId="3" fontId="20" fillId="0" borderId="2" xfId="2" applyNumberFormat="1" applyFont="1" applyFill="1" applyBorder="1" applyAlignment="1">
      <alignment horizontal="left" indent="1"/>
    </xf>
    <xf numFmtId="3" fontId="20" fillId="0" borderId="2" xfId="2" applyNumberFormat="1" applyFont="1" applyFill="1" applyBorder="1" applyAlignment="1">
      <alignment horizontal="right" indent="1"/>
    </xf>
    <xf numFmtId="187" fontId="20" fillId="0" borderId="2" xfId="2" applyNumberFormat="1" applyFont="1" applyFill="1" applyBorder="1" applyAlignment="1">
      <alignment horizontal="center"/>
    </xf>
    <xf numFmtId="43" fontId="20" fillId="0" borderId="2" xfId="1" applyFont="1" applyFill="1" applyBorder="1" applyAlignment="1">
      <alignment horizontal="right" indent="1"/>
    </xf>
    <xf numFmtId="3" fontId="20" fillId="0" borderId="3" xfId="2" applyNumberFormat="1" applyFont="1" applyFill="1" applyBorder="1" applyAlignment="1">
      <alignment horizontal="left" indent="1"/>
    </xf>
    <xf numFmtId="3" fontId="20" fillId="0" borderId="3" xfId="2" applyNumberFormat="1" applyFont="1" applyFill="1" applyBorder="1" applyAlignment="1">
      <alignment horizontal="right" indent="1"/>
    </xf>
    <xf numFmtId="187" fontId="20" fillId="0" borderId="3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left" indent="1"/>
    </xf>
    <xf numFmtId="3" fontId="20" fillId="0" borderId="2" xfId="1" applyNumberFormat="1" applyFont="1" applyFill="1" applyBorder="1" applyAlignment="1">
      <alignment horizontal="right" indent="1"/>
    </xf>
    <xf numFmtId="187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left" indent="1"/>
    </xf>
    <xf numFmtId="3" fontId="20" fillId="0" borderId="1" xfId="1" applyNumberFormat="1" applyFont="1" applyFill="1" applyBorder="1" applyAlignment="1">
      <alignment horizontal="right" indent="1"/>
    </xf>
    <xf numFmtId="187" fontId="20" fillId="0" borderId="1" xfId="1" applyNumberFormat="1" applyFont="1" applyFill="1" applyBorder="1" applyAlignment="1">
      <alignment horizontal="center"/>
    </xf>
    <xf numFmtId="3" fontId="20" fillId="0" borderId="6" xfId="1" applyNumberFormat="1" applyFont="1" applyFill="1" applyBorder="1" applyAlignment="1">
      <alignment horizontal="left" indent="1"/>
    </xf>
    <xf numFmtId="3" fontId="20" fillId="0" borderId="6" xfId="1" applyNumberFormat="1" applyFont="1" applyFill="1" applyBorder="1" applyAlignment="1">
      <alignment horizontal="right" indent="1"/>
    </xf>
    <xf numFmtId="187" fontId="20" fillId="0" borderId="6" xfId="1" applyNumberFormat="1" applyFont="1" applyFill="1" applyBorder="1" applyAlignment="1">
      <alignment horizontal="center"/>
    </xf>
    <xf numFmtId="3" fontId="20" fillId="4" borderId="2" xfId="1" applyNumberFormat="1" applyFont="1" applyFill="1" applyBorder="1" applyAlignment="1">
      <alignment horizontal="left" indent="1"/>
    </xf>
    <xf numFmtId="3" fontId="20" fillId="4" borderId="2" xfId="1" applyNumberFormat="1" applyFont="1" applyFill="1" applyBorder="1" applyAlignment="1">
      <alignment horizontal="right" indent="1"/>
    </xf>
    <xf numFmtId="187" fontId="20" fillId="4" borderId="2" xfId="2" applyNumberFormat="1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left" indent="1"/>
    </xf>
    <xf numFmtId="3" fontId="20" fillId="0" borderId="6" xfId="2" applyNumberFormat="1" applyFont="1" applyFill="1" applyBorder="1" applyAlignment="1">
      <alignment horizontal="right" indent="1"/>
    </xf>
    <xf numFmtId="187" fontId="20" fillId="0" borderId="6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left" indent="1"/>
    </xf>
    <xf numFmtId="3" fontId="20" fillId="0" borderId="4" xfId="2" applyNumberFormat="1" applyFont="1" applyFill="1" applyBorder="1" applyAlignment="1">
      <alignment horizontal="right" indent="1"/>
    </xf>
    <xf numFmtId="187" fontId="20" fillId="0" borderId="4" xfId="2" applyNumberFormat="1" applyFont="1" applyFill="1" applyBorder="1" applyAlignment="1">
      <alignment horizontal="center"/>
    </xf>
    <xf numFmtId="0" fontId="20" fillId="0" borderId="2" xfId="2" applyNumberFormat="1" applyFont="1" applyFill="1" applyBorder="1" applyAlignment="1">
      <alignment horizontal="center"/>
    </xf>
    <xf numFmtId="3" fontId="20" fillId="4" borderId="3" xfId="2" applyNumberFormat="1" applyFont="1" applyFill="1" applyBorder="1" applyAlignment="1">
      <alignment horizontal="left" indent="1"/>
    </xf>
    <xf numFmtId="3" fontId="20" fillId="4" borderId="3" xfId="2" applyNumberFormat="1" applyFont="1" applyFill="1" applyBorder="1" applyAlignment="1">
      <alignment horizontal="right" indent="1"/>
    </xf>
    <xf numFmtId="187" fontId="20" fillId="4" borderId="3" xfId="2" applyNumberFormat="1" applyFont="1" applyFill="1" applyBorder="1" applyAlignment="1">
      <alignment horizontal="center"/>
    </xf>
    <xf numFmtId="3" fontId="20" fillId="0" borderId="5" xfId="2" applyNumberFormat="1" applyFont="1" applyFill="1" applyBorder="1" applyAlignment="1">
      <alignment horizontal="left" indent="1"/>
    </xf>
    <xf numFmtId="3" fontId="20" fillId="6" borderId="5" xfId="2" applyNumberFormat="1" applyFont="1" applyFill="1" applyBorder="1" applyAlignment="1">
      <alignment horizontal="left" indent="1"/>
    </xf>
    <xf numFmtId="3" fontId="20" fillId="0" borderId="5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center"/>
    </xf>
    <xf numFmtId="3" fontId="20" fillId="0" borderId="2" xfId="2" applyNumberFormat="1" applyFont="1" applyFill="1" applyBorder="1" applyAlignment="1">
      <alignment horizontal="center"/>
    </xf>
    <xf numFmtId="3" fontId="20" fillId="0" borderId="18" xfId="2" applyNumberFormat="1" applyFont="1" applyFill="1" applyBorder="1" applyAlignment="1">
      <alignment horizontal="left" indent="1"/>
    </xf>
    <xf numFmtId="3" fontId="20" fillId="0" borderId="18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center"/>
    </xf>
    <xf numFmtId="3" fontId="20" fillId="0" borderId="3" xfId="2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6" xfId="0" applyFont="1" applyFill="1" applyBorder="1"/>
    <xf numFmtId="3" fontId="20" fillId="0" borderId="10" xfId="2" applyNumberFormat="1" applyFont="1" applyFill="1" applyBorder="1" applyAlignment="1">
      <alignment horizontal="center"/>
    </xf>
    <xf numFmtId="3" fontId="20" fillId="0" borderId="24" xfId="2" applyNumberFormat="1" applyFont="1" applyFill="1" applyBorder="1" applyAlignment="1">
      <alignment horizontal="center"/>
    </xf>
    <xf numFmtId="3" fontId="20" fillId="0" borderId="19" xfId="2" applyNumberFormat="1" applyFont="1" applyFill="1" applyBorder="1" applyAlignment="1">
      <alignment horizontal="center"/>
    </xf>
    <xf numFmtId="187" fontId="20" fillId="4" borderId="0" xfId="2" applyNumberFormat="1" applyFont="1" applyFill="1" applyBorder="1" applyAlignment="1">
      <alignment horizontal="left"/>
    </xf>
    <xf numFmtId="187" fontId="15" fillId="4" borderId="2" xfId="2" applyNumberFormat="1" applyFont="1" applyFill="1" applyBorder="1" applyAlignment="1">
      <alignment horizontal="center"/>
    </xf>
    <xf numFmtId="187" fontId="15" fillId="4" borderId="4" xfId="1" applyNumberFormat="1" applyFont="1" applyFill="1" applyBorder="1" applyAlignment="1">
      <alignment horizontal="center"/>
    </xf>
    <xf numFmtId="187" fontId="20" fillId="4" borderId="0" xfId="0" applyNumberFormat="1" applyFont="1" applyFill="1"/>
    <xf numFmtId="0" fontId="20" fillId="4" borderId="0" xfId="0" applyFont="1" applyFill="1"/>
    <xf numFmtId="0" fontId="23" fillId="0" borderId="0" xfId="0" applyFont="1" applyFill="1"/>
    <xf numFmtId="3" fontId="20" fillId="0" borderId="3" xfId="1" applyNumberFormat="1" applyFont="1" applyFill="1" applyBorder="1" applyAlignment="1">
      <alignment horizontal="left" indent="1"/>
    </xf>
    <xf numFmtId="3" fontId="20" fillId="0" borderId="0" xfId="0" applyNumberFormat="1" applyFont="1" applyFill="1"/>
    <xf numFmtId="187" fontId="20" fillId="0" borderId="0" xfId="0" applyNumberFormat="1" applyFont="1" applyFill="1"/>
    <xf numFmtId="3" fontId="20" fillId="3" borderId="5" xfId="2" applyNumberFormat="1" applyFont="1" applyFill="1" applyBorder="1" applyAlignment="1">
      <alignment horizontal="center"/>
    </xf>
    <xf numFmtId="0" fontId="20" fillId="6" borderId="0" xfId="0" applyFont="1" applyFill="1"/>
    <xf numFmtId="187" fontId="14" fillId="0" borderId="7" xfId="0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4" borderId="14" xfId="0" applyFont="1" applyFill="1" applyBorder="1"/>
    <xf numFmtId="0" fontId="14" fillId="4" borderId="25" xfId="0" applyFont="1" applyFill="1" applyBorder="1" applyAlignment="1">
      <alignment horizontal="right"/>
    </xf>
    <xf numFmtId="0" fontId="15" fillId="0" borderId="6" xfId="0" applyFont="1" applyFill="1" applyBorder="1"/>
    <xf numFmtId="3" fontId="15" fillId="6" borderId="5" xfId="2" applyNumberFormat="1" applyFont="1" applyFill="1" applyBorder="1" applyAlignment="1">
      <alignment horizontal="left" indent="1"/>
    </xf>
    <xf numFmtId="0" fontId="15" fillId="0" borderId="26" xfId="0" applyFont="1" applyFill="1" applyBorder="1"/>
    <xf numFmtId="0" fontId="15" fillId="0" borderId="27" xfId="0" applyFont="1" applyFill="1" applyBorder="1"/>
    <xf numFmtId="187" fontId="15" fillId="4" borderId="0" xfId="2" applyNumberFormat="1" applyFont="1" applyFill="1" applyBorder="1" applyAlignment="1">
      <alignment horizontal="left"/>
    </xf>
    <xf numFmtId="3" fontId="15" fillId="3" borderId="5" xfId="2" applyNumberFormat="1" applyFont="1" applyFill="1" applyBorder="1" applyAlignment="1">
      <alignment horizontal="center"/>
    </xf>
    <xf numFmtId="0" fontId="15" fillId="6" borderId="0" xfId="0" applyFont="1" applyFill="1"/>
    <xf numFmtId="187" fontId="15" fillId="0" borderId="7" xfId="1" applyNumberFormat="1" applyFont="1" applyFill="1" applyBorder="1"/>
    <xf numFmtId="187" fontId="15" fillId="0" borderId="0" xfId="1" applyNumberFormat="1" applyFont="1" applyFill="1" applyBorder="1"/>
    <xf numFmtId="3" fontId="14" fillId="0" borderId="0" xfId="2" applyNumberFormat="1" applyFont="1" applyFill="1" applyBorder="1" applyAlignment="1" applyProtection="1">
      <alignment horizontal="left" vertical="center"/>
      <protection locked="0"/>
    </xf>
    <xf numFmtId="187" fontId="15" fillId="0" borderId="17" xfId="1" applyNumberFormat="1" applyFont="1" applyFill="1" applyBorder="1"/>
    <xf numFmtId="3" fontId="14" fillId="0" borderId="19" xfId="2" applyNumberFormat="1" applyFont="1" applyFill="1" applyBorder="1" applyAlignment="1" applyProtection="1">
      <alignment horizontal="left" vertical="center"/>
      <protection locked="0"/>
    </xf>
    <xf numFmtId="3" fontId="14" fillId="0" borderId="22" xfId="2" applyNumberFormat="1" applyFont="1" applyFill="1" applyBorder="1" applyAlignment="1" applyProtection="1">
      <alignment horizontal="left" vertical="center"/>
      <protection locked="0"/>
    </xf>
    <xf numFmtId="187" fontId="15" fillId="0" borderId="22" xfId="1" applyNumberFormat="1" applyFont="1" applyFill="1" applyBorder="1"/>
    <xf numFmtId="187" fontId="15" fillId="0" borderId="23" xfId="1" applyNumberFormat="1" applyFont="1" applyFill="1" applyBorder="1"/>
    <xf numFmtId="187" fontId="15" fillId="0" borderId="1" xfId="1" applyNumberFormat="1" applyFont="1" applyFill="1" applyBorder="1"/>
    <xf numFmtId="187" fontId="20" fillId="0" borderId="0" xfId="1" applyNumberFormat="1" applyFont="1" applyFill="1" applyBorder="1"/>
    <xf numFmtId="187" fontId="23" fillId="0" borderId="0" xfId="1" applyNumberFormat="1" applyFont="1" applyFill="1" applyBorder="1"/>
    <xf numFmtId="187" fontId="15" fillId="0" borderId="6" xfId="1" applyNumberFormat="1" applyFont="1" applyFill="1" applyBorder="1"/>
    <xf numFmtId="187" fontId="14" fillId="0" borderId="7" xfId="1" applyNumberFormat="1" applyFont="1" applyFill="1" applyBorder="1"/>
    <xf numFmtId="187" fontId="14" fillId="0" borderId="0" xfId="1" applyNumberFormat="1" applyFont="1" applyFill="1" applyBorder="1"/>
    <xf numFmtId="3" fontId="14" fillId="0" borderId="7" xfId="2" applyNumberFormat="1" applyFont="1" applyFill="1" applyBorder="1" applyAlignment="1" applyProtection="1">
      <alignment horizontal="left" vertical="center"/>
      <protection locked="0"/>
    </xf>
    <xf numFmtId="3" fontId="14" fillId="0" borderId="4" xfId="1" applyNumberFormat="1" applyFont="1" applyFill="1" applyBorder="1" applyAlignment="1">
      <alignment horizontal="left"/>
    </xf>
    <xf numFmtId="3" fontId="14" fillId="0" borderId="6" xfId="1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>
      <alignment horizontal="left"/>
    </xf>
    <xf numFmtId="3" fontId="15" fillId="0" borderId="1" xfId="2" quotePrefix="1" applyNumberFormat="1" applyFont="1" applyFill="1" applyBorder="1" applyAlignment="1">
      <alignment horizontal="left" indent="1"/>
    </xf>
    <xf numFmtId="3" fontId="15" fillId="0" borderId="14" xfId="2" quotePrefix="1" applyNumberFormat="1" applyFont="1" applyFill="1" applyBorder="1" applyAlignment="1">
      <alignment horizontal="left" indent="1"/>
    </xf>
    <xf numFmtId="187" fontId="15" fillId="0" borderId="14" xfId="1" applyNumberFormat="1" applyFont="1" applyFill="1" applyBorder="1"/>
    <xf numFmtId="187" fontId="15" fillId="0" borderId="20" xfId="1" applyNumberFormat="1" applyFont="1" applyFill="1" applyBorder="1"/>
    <xf numFmtId="3" fontId="15" fillId="0" borderId="7" xfId="2" quotePrefix="1" applyNumberFormat="1" applyFont="1" applyFill="1" applyBorder="1" applyAlignment="1">
      <alignment horizontal="left" indent="1"/>
    </xf>
    <xf numFmtId="187" fontId="15" fillId="0" borderId="11" xfId="1" applyNumberFormat="1" applyFont="1" applyFill="1" applyBorder="1"/>
    <xf numFmtId="3" fontId="15" fillId="0" borderId="11" xfId="2" quotePrefix="1" applyNumberFormat="1" applyFont="1" applyFill="1" applyBorder="1" applyAlignment="1">
      <alignment horizontal="left" indent="1"/>
    </xf>
    <xf numFmtId="0" fontId="15" fillId="0" borderId="7" xfId="0" applyFont="1" applyBorder="1"/>
    <xf numFmtId="0" fontId="28" fillId="0" borderId="0" xfId="0" applyFont="1"/>
    <xf numFmtId="187" fontId="14" fillId="0" borderId="22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23" xfId="2" quotePrefix="1" applyNumberFormat="1" applyFont="1" applyFill="1" applyBorder="1" applyAlignment="1" applyProtection="1">
      <alignment vertical="center" wrapText="1"/>
      <protection locked="0"/>
    </xf>
    <xf numFmtId="0" fontId="14" fillId="0" borderId="25" xfId="2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2" quotePrefix="1" applyNumberFormat="1" applyFont="1" applyFill="1" applyBorder="1" applyAlignment="1" applyProtection="1">
      <alignment horizontal="center" vertical="center" wrapText="1"/>
      <protection locked="0"/>
    </xf>
    <xf numFmtId="3" fontId="20" fillId="0" borderId="4" xfId="1" applyNumberFormat="1" applyFont="1" applyFill="1" applyBorder="1" applyAlignment="1">
      <alignment horizontal="left" indent="1"/>
    </xf>
    <xf numFmtId="187" fontId="20" fillId="0" borderId="7" xfId="1" applyNumberFormat="1" applyFont="1" applyFill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14" xfId="2" quotePrefix="1" applyNumberFormat="1" applyFont="1" applyFill="1" applyBorder="1" applyAlignment="1" applyProtection="1">
      <alignment horizontal="center" vertical="center" wrapText="1"/>
      <protection locked="0"/>
    </xf>
    <xf numFmtId="187" fontId="14" fillId="0" borderId="21" xfId="2" quotePrefix="1" applyNumberFormat="1" applyFont="1" applyFill="1" applyBorder="1" applyAlignment="1" applyProtection="1">
      <alignment vertical="center" wrapText="1"/>
      <protection locked="0"/>
    </xf>
    <xf numFmtId="187" fontId="28" fillId="0" borderId="0" xfId="0" applyNumberFormat="1" applyFont="1" applyFill="1" applyAlignment="1">
      <alignment horizontal="center"/>
    </xf>
    <xf numFmtId="187" fontId="15" fillId="0" borderId="25" xfId="1" applyNumberFormat="1" applyFont="1" applyFill="1" applyBorder="1"/>
    <xf numFmtId="187" fontId="15" fillId="0" borderId="15" xfId="1" applyNumberFormat="1" applyFont="1" applyFill="1" applyBorder="1"/>
    <xf numFmtId="187" fontId="15" fillId="0" borderId="8" xfId="1" applyNumberFormat="1" applyFont="1" applyFill="1" applyBorder="1"/>
    <xf numFmtId="187" fontId="15" fillId="0" borderId="21" xfId="1" applyNumberFormat="1" applyFont="1" applyFill="1" applyBorder="1"/>
    <xf numFmtId="3" fontId="20" fillId="0" borderId="7" xfId="2" quotePrefix="1" applyNumberFormat="1" applyFont="1" applyFill="1" applyBorder="1" applyAlignment="1">
      <alignment horizontal="left" indent="1"/>
    </xf>
    <xf numFmtId="3" fontId="29" fillId="0" borderId="2" xfId="1" applyNumberFormat="1" applyFont="1" applyFill="1" applyBorder="1" applyAlignment="1">
      <alignment horizontal="left" indent="1"/>
    </xf>
    <xf numFmtId="0" fontId="20" fillId="9" borderId="8" xfId="0" applyFont="1" applyFill="1" applyBorder="1" applyAlignment="1">
      <alignment horizontal="center"/>
    </xf>
    <xf numFmtId="0" fontId="20" fillId="9" borderId="21" xfId="0" applyFont="1" applyFill="1" applyBorder="1"/>
    <xf numFmtId="0" fontId="20" fillId="9" borderId="0" xfId="0" applyFont="1" applyFill="1"/>
    <xf numFmtId="0" fontId="20" fillId="0" borderId="26" xfId="0" applyFont="1" applyFill="1" applyBorder="1"/>
    <xf numFmtId="187" fontId="23" fillId="9" borderId="7" xfId="0" applyNumberFormat="1" applyFont="1" applyFill="1" applyBorder="1"/>
    <xf numFmtId="0" fontId="23" fillId="9" borderId="0" xfId="0" applyFont="1" applyFill="1"/>
    <xf numFmtId="187" fontId="23" fillId="9" borderId="0" xfId="0" applyNumberFormat="1" applyFont="1" applyFill="1"/>
    <xf numFmtId="0" fontId="20" fillId="0" borderId="7" xfId="0" applyFont="1" applyFill="1" applyBorder="1"/>
    <xf numFmtId="187" fontId="20" fillId="0" borderId="7" xfId="0" applyNumberFormat="1" applyFont="1" applyFill="1" applyBorder="1"/>
    <xf numFmtId="0" fontId="23" fillId="9" borderId="7" xfId="0" applyFont="1" applyFill="1" applyBorder="1"/>
    <xf numFmtId="0" fontId="23" fillId="9" borderId="7" xfId="0" applyFont="1" applyFill="1" applyBorder="1" applyAlignment="1">
      <alignment horizontal="center"/>
    </xf>
    <xf numFmtId="187" fontId="23" fillId="8" borderId="7" xfId="0" applyNumberFormat="1" applyFont="1" applyFill="1" applyBorder="1"/>
    <xf numFmtId="3" fontId="23" fillId="0" borderId="0" xfId="0" applyNumberFormat="1" applyFont="1" applyFill="1"/>
    <xf numFmtId="187" fontId="23" fillId="0" borderId="0" xfId="2" applyNumberFormat="1" applyFont="1" applyFill="1" applyBorder="1" applyAlignment="1">
      <alignment horizontal="left"/>
    </xf>
    <xf numFmtId="3" fontId="30" fillId="0" borderId="4" xfId="1" applyNumberFormat="1" applyFont="1" applyFill="1" applyBorder="1" applyAlignment="1">
      <alignment horizontal="left" indent="1"/>
    </xf>
    <xf numFmtId="3" fontId="28" fillId="0" borderId="4" xfId="1" applyNumberFormat="1" applyFont="1" applyFill="1" applyBorder="1" applyAlignment="1">
      <alignment horizontal="right" indent="1"/>
    </xf>
    <xf numFmtId="187" fontId="28" fillId="0" borderId="4" xfId="1" applyNumberFormat="1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right"/>
    </xf>
    <xf numFmtId="187" fontId="15" fillId="9" borderId="7" xfId="0" applyNumberFormat="1" applyFont="1" applyFill="1" applyBorder="1" applyAlignment="1">
      <alignment horizontal="center"/>
    </xf>
    <xf numFmtId="0" fontId="15" fillId="9" borderId="22" xfId="0" applyFont="1" applyFill="1" applyBorder="1"/>
    <xf numFmtId="0" fontId="15" fillId="9" borderId="22" xfId="0" applyFont="1" applyFill="1" applyBorder="1" applyAlignment="1">
      <alignment horizontal="right"/>
    </xf>
    <xf numFmtId="3" fontId="23" fillId="0" borderId="7" xfId="1" applyNumberFormat="1" applyFont="1" applyFill="1" applyBorder="1" applyAlignment="1">
      <alignment horizontal="center"/>
    </xf>
    <xf numFmtId="1" fontId="14" fillId="9" borderId="1" xfId="2" applyNumberFormat="1" applyFont="1" applyFill="1" applyBorder="1" applyAlignment="1" applyProtection="1">
      <alignment horizontal="center" vertical="center"/>
      <protection locked="0"/>
    </xf>
    <xf numFmtId="1" fontId="14" fillId="9" borderId="7" xfId="2" quotePrefix="1" applyNumberFormat="1" applyFont="1" applyFill="1" applyBorder="1" applyAlignment="1" applyProtection="1">
      <alignment horizontal="center"/>
      <protection locked="0"/>
    </xf>
    <xf numFmtId="3" fontId="14" fillId="9" borderId="19" xfId="2" applyNumberFormat="1" applyFont="1" applyFill="1" applyBorder="1" applyAlignment="1" applyProtection="1">
      <alignment horizontal="center" vertical="center"/>
      <protection locked="0"/>
    </xf>
    <xf numFmtId="3" fontId="14" fillId="9" borderId="7" xfId="2" applyNumberFormat="1" applyFont="1" applyFill="1" applyBorder="1" applyAlignment="1" applyProtection="1">
      <alignment horizontal="center"/>
      <protection locked="0"/>
    </xf>
    <xf numFmtId="187" fontId="20" fillId="6" borderId="7" xfId="0" applyNumberFormat="1" applyFont="1" applyFill="1" applyBorder="1" applyAlignment="1">
      <alignment horizontal="center"/>
    </xf>
    <xf numFmtId="3" fontId="23" fillId="0" borderId="7" xfId="2" applyNumberFormat="1" applyFont="1" applyFill="1" applyBorder="1" applyAlignment="1">
      <alignment horizontal="center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0" fillId="6" borderId="7" xfId="1" applyNumberFormat="1" applyFont="1" applyFill="1" applyBorder="1" applyAlignment="1">
      <alignment horizontal="left"/>
    </xf>
    <xf numFmtId="187" fontId="20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8" xfId="0" applyFont="1" applyBorder="1"/>
    <xf numFmtId="0" fontId="1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187" fontId="14" fillId="0" borderId="5" xfId="1" applyNumberFormat="1" applyFont="1" applyBorder="1"/>
    <xf numFmtId="187" fontId="14" fillId="0" borderId="2" xfId="1" applyNumberFormat="1" applyFont="1" applyBorder="1"/>
    <xf numFmtId="187" fontId="14" fillId="0" borderId="4" xfId="1" applyNumberFormat="1" applyFont="1" applyBorder="1"/>
    <xf numFmtId="187" fontId="14" fillId="0" borderId="7" xfId="1" applyNumberFormat="1" applyFont="1" applyBorder="1"/>
    <xf numFmtId="3" fontId="15" fillId="0" borderId="5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87" fontId="15" fillId="0" borderId="5" xfId="1" applyNumberFormat="1" applyFont="1" applyBorder="1" applyAlignment="1">
      <alignment horizontal="center"/>
    </xf>
    <xf numFmtId="187" fontId="15" fillId="0" borderId="2" xfId="1" applyNumberFormat="1" applyFont="1" applyBorder="1" applyAlignment="1">
      <alignment horizontal="center"/>
    </xf>
    <xf numFmtId="187" fontId="15" fillId="0" borderId="4" xfId="1" applyNumberFormat="1" applyFont="1" applyBorder="1" applyAlignment="1">
      <alignment horizontal="center"/>
    </xf>
    <xf numFmtId="187" fontId="15" fillId="0" borderId="18" xfId="1" applyNumberFormat="1" applyFont="1" applyBorder="1" applyAlignment="1">
      <alignment horizontal="center"/>
    </xf>
    <xf numFmtId="0" fontId="30" fillId="0" borderId="0" xfId="0" applyFont="1"/>
    <xf numFmtId="187" fontId="15" fillId="0" borderId="2" xfId="1" applyNumberFormat="1" applyFont="1" applyFill="1" applyBorder="1" applyAlignment="1"/>
    <xf numFmtId="187" fontId="14" fillId="4" borderId="7" xfId="2" applyNumberFormat="1" applyFont="1" applyFill="1" applyBorder="1" applyAlignment="1">
      <alignment horizontal="center"/>
    </xf>
    <xf numFmtId="187" fontId="14" fillId="6" borderId="7" xfId="0" applyNumberFormat="1" applyFont="1" applyFill="1" applyBorder="1" applyAlignment="1">
      <alignment horizontal="center"/>
    </xf>
    <xf numFmtId="187" fontId="15" fillId="6" borderId="15" xfId="0" applyNumberFormat="1" applyFont="1" applyFill="1" applyBorder="1" applyAlignment="1">
      <alignment horizontal="center"/>
    </xf>
    <xf numFmtId="187" fontId="15" fillId="6" borderId="7" xfId="0" applyNumberFormat="1" applyFont="1" applyFill="1" applyBorder="1" applyAlignment="1">
      <alignment horizontal="center"/>
    </xf>
    <xf numFmtId="187" fontId="15" fillId="6" borderId="17" xfId="0" applyNumberFormat="1" applyFont="1" applyFill="1" applyBorder="1" applyAlignment="1">
      <alignment horizontal="center"/>
    </xf>
    <xf numFmtId="187" fontId="15" fillId="9" borderId="17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0" fillId="3" borderId="2" xfId="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7" fontId="15" fillId="0" borderId="7" xfId="1" quotePrefix="1" applyNumberFormat="1" applyFont="1" applyFill="1" applyBorder="1" applyAlignment="1">
      <alignment horizontal="center"/>
    </xf>
    <xf numFmtId="187" fontId="14" fillId="9" borderId="14" xfId="1" applyNumberFormat="1" applyFont="1" applyFill="1" applyBorder="1"/>
    <xf numFmtId="187" fontId="14" fillId="9" borderId="1" xfId="1" applyNumberFormat="1" applyFont="1" applyFill="1" applyBorder="1"/>
    <xf numFmtId="187" fontId="14" fillId="9" borderId="0" xfId="1" applyNumberFormat="1" applyFont="1" applyFill="1"/>
    <xf numFmtId="187" fontId="14" fillId="9" borderId="7" xfId="0" applyNumberFormat="1" applyFont="1" applyFill="1" applyBorder="1"/>
    <xf numFmtId="0" fontId="14" fillId="9" borderId="7" xfId="0" applyFont="1" applyFill="1" applyBorder="1"/>
    <xf numFmtId="187" fontId="14" fillId="9" borderId="7" xfId="1" applyNumberFormat="1" applyFont="1" applyFill="1" applyBorder="1"/>
    <xf numFmtId="0" fontId="15" fillId="9" borderId="0" xfId="0" applyFont="1" applyFill="1"/>
    <xf numFmtId="3" fontId="15" fillId="0" borderId="1" xfId="1" applyNumberFormat="1" applyFont="1" applyFill="1" applyBorder="1" applyAlignment="1">
      <alignment horizontal="center"/>
    </xf>
    <xf numFmtId="187" fontId="15" fillId="0" borderId="2" xfId="1" applyNumberFormat="1" applyFont="1" applyFill="1" applyBorder="1"/>
    <xf numFmtId="0" fontId="15" fillId="0" borderId="0" xfId="0" applyFont="1" applyFill="1" applyAlignment="1">
      <alignment horizontal="center"/>
    </xf>
    <xf numFmtId="3" fontId="14" fillId="0" borderId="21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/>
    <xf numFmtId="0" fontId="14" fillId="8" borderId="7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2" xfId="0" applyFont="1" applyFill="1" applyBorder="1"/>
    <xf numFmtId="0" fontId="15" fillId="8" borderId="19" xfId="0" applyFont="1" applyFill="1" applyBorder="1"/>
    <xf numFmtId="0" fontId="14" fillId="8" borderId="7" xfId="0" applyFont="1" applyFill="1" applyBorder="1"/>
    <xf numFmtId="0" fontId="31" fillId="0" borderId="0" xfId="0" applyFont="1"/>
    <xf numFmtId="0" fontId="15" fillId="0" borderId="0" xfId="0" applyFont="1" applyFill="1" applyBorder="1"/>
    <xf numFmtId="187" fontId="14" fillId="6" borderId="17" xfId="0" applyNumberFormat="1" applyFont="1" applyFill="1" applyBorder="1" applyAlignment="1">
      <alignment horizontal="center"/>
    </xf>
    <xf numFmtId="187" fontId="15" fillId="9" borderId="0" xfId="1" applyNumberFormat="1" applyFont="1" applyFill="1"/>
    <xf numFmtId="187" fontId="14" fillId="4" borderId="0" xfId="0" applyNumberFormat="1" applyFont="1" applyFill="1"/>
    <xf numFmtId="3" fontId="14" fillId="0" borderId="0" xfId="0" applyNumberFormat="1" applyFont="1" applyFill="1"/>
    <xf numFmtId="18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2" xfId="1" applyNumberFormat="1" applyFont="1" applyFill="1" applyBorder="1" applyAlignment="1"/>
    <xf numFmtId="187" fontId="20" fillId="0" borderId="1" xfId="1" applyNumberFormat="1" applyFont="1" applyFill="1" applyBorder="1" applyAlignment="1"/>
    <xf numFmtId="3" fontId="20" fillId="0" borderId="6" xfId="1" applyNumberFormat="1" applyFont="1" applyFill="1" applyBorder="1" applyAlignment="1">
      <alignment horizontal="center"/>
    </xf>
    <xf numFmtId="187" fontId="20" fillId="0" borderId="6" xfId="1" applyNumberFormat="1" applyFont="1" applyFill="1" applyBorder="1" applyAlignment="1"/>
    <xf numFmtId="3" fontId="20" fillId="6" borderId="2" xfId="1" applyNumberFormat="1" applyFont="1" applyFill="1" applyBorder="1" applyAlignment="1">
      <alignment horizontal="center"/>
    </xf>
    <xf numFmtId="3" fontId="20" fillId="6" borderId="2" xfId="1" applyNumberFormat="1" applyFont="1" applyFill="1" applyBorder="1" applyAlignment="1">
      <alignment horizontal="right" indent="1"/>
    </xf>
    <xf numFmtId="187" fontId="20" fillId="6" borderId="2" xfId="1" applyNumberFormat="1" applyFont="1" applyFill="1" applyBorder="1" applyAlignment="1">
      <alignment horizontal="center"/>
    </xf>
    <xf numFmtId="187" fontId="20" fillId="6" borderId="2" xfId="2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9" borderId="7" xfId="0" applyNumberFormat="1" applyFont="1" applyFill="1" applyBorder="1" applyAlignment="1">
      <alignment horizontal="center"/>
    </xf>
    <xf numFmtId="3" fontId="15" fillId="8" borderId="2" xfId="2" applyNumberFormat="1" applyFont="1" applyFill="1" applyBorder="1" applyAlignment="1">
      <alignment horizontal="left" indent="1"/>
    </xf>
    <xf numFmtId="3" fontId="15" fillId="0" borderId="9" xfId="2" quotePrefix="1" applyNumberFormat="1" applyFont="1" applyFill="1" applyBorder="1" applyAlignment="1">
      <alignment horizontal="left" indent="1"/>
    </xf>
    <xf numFmtId="187" fontId="15" fillId="0" borderId="9" xfId="1" applyNumberFormat="1" applyFont="1" applyFill="1" applyBorder="1"/>
    <xf numFmtId="0" fontId="14" fillId="9" borderId="0" xfId="0" applyFont="1" applyFill="1"/>
    <xf numFmtId="0" fontId="14" fillId="9" borderId="7" xfId="0" applyFont="1" applyFill="1" applyBorder="1" applyAlignment="1">
      <alignment horizontal="center"/>
    </xf>
    <xf numFmtId="3" fontId="20" fillId="3" borderId="2" xfId="2" applyNumberFormat="1" applyFont="1" applyFill="1" applyBorder="1" applyAlignment="1">
      <alignment horizontal="center"/>
    </xf>
    <xf numFmtId="3" fontId="15" fillId="6" borderId="2" xfId="1" applyNumberFormat="1" applyFont="1" applyFill="1" applyBorder="1" applyAlignment="1">
      <alignment horizontal="center"/>
    </xf>
    <xf numFmtId="3" fontId="15" fillId="6" borderId="2" xfId="1" applyNumberFormat="1" applyFont="1" applyFill="1" applyBorder="1" applyAlignment="1">
      <alignment horizontal="right" indent="1"/>
    </xf>
    <xf numFmtId="187" fontId="15" fillId="6" borderId="2" xfId="1" applyNumberFormat="1" applyFont="1" applyFill="1" applyBorder="1" applyAlignment="1">
      <alignment horizontal="center"/>
    </xf>
    <xf numFmtId="187" fontId="15" fillId="6" borderId="2" xfId="2" applyNumberFormat="1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5" fillId="9" borderId="21" xfId="0" applyFont="1" applyFill="1" applyBorder="1"/>
    <xf numFmtId="3" fontId="14" fillId="0" borderId="8" xfId="2" applyNumberFormat="1" applyFont="1" applyFill="1" applyBorder="1" applyAlignment="1" applyProtection="1">
      <alignment horizontal="center" vertical="center"/>
      <protection locked="0"/>
    </xf>
    <xf numFmtId="187" fontId="14" fillId="0" borderId="8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0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1" xfId="2" quotePrefix="1" applyNumberFormat="1" applyFont="1" applyFill="1" applyBorder="1" applyAlignment="1" applyProtection="1">
      <alignment horizontal="center"/>
      <protection locked="0"/>
    </xf>
    <xf numFmtId="3" fontId="15" fillId="0" borderId="5" xfId="1" applyNumberFormat="1" applyFont="1" applyFill="1" applyBorder="1" applyAlignment="1">
      <alignment horizontal="left" indent="1"/>
    </xf>
    <xf numFmtId="3" fontId="15" fillId="0" borderId="5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right" indent="1"/>
    </xf>
    <xf numFmtId="187" fontId="15" fillId="0" borderId="5" xfId="1" applyNumberFormat="1" applyFont="1" applyFill="1" applyBorder="1" applyAlignment="1">
      <alignment horizontal="center"/>
    </xf>
    <xf numFmtId="187" fontId="15" fillId="0" borderId="5" xfId="1" applyNumberFormat="1" applyFont="1" applyFill="1" applyBorder="1" applyAlignment="1"/>
    <xf numFmtId="187" fontId="15" fillId="0" borderId="5" xfId="2" applyNumberFormat="1" applyFont="1" applyFill="1" applyBorder="1" applyAlignment="1">
      <alignment horizontal="center"/>
    </xf>
    <xf numFmtId="3" fontId="15" fillId="0" borderId="18" xfId="1" applyNumberFormat="1" applyFont="1" applyFill="1" applyBorder="1" applyAlignment="1">
      <alignment horizontal="left" indent="1"/>
    </xf>
    <xf numFmtId="3" fontId="15" fillId="0" borderId="18" xfId="1" applyNumberFormat="1" applyFont="1" applyFill="1" applyBorder="1" applyAlignment="1">
      <alignment horizontal="center"/>
    </xf>
    <xf numFmtId="3" fontId="15" fillId="0" borderId="18" xfId="1" applyNumberFormat="1" applyFont="1" applyFill="1" applyBorder="1" applyAlignment="1">
      <alignment horizontal="right" indent="1"/>
    </xf>
    <xf numFmtId="187" fontId="15" fillId="0" borderId="18" xfId="1" applyNumberFormat="1" applyFont="1" applyFill="1" applyBorder="1" applyAlignment="1">
      <alignment horizontal="center"/>
    </xf>
    <xf numFmtId="187" fontId="15" fillId="0" borderId="18" xfId="1" applyNumberFormat="1" applyFont="1" applyFill="1" applyBorder="1" applyAlignment="1"/>
    <xf numFmtId="187" fontId="15" fillId="0" borderId="18" xfId="2" applyNumberFormat="1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right"/>
    </xf>
    <xf numFmtId="187" fontId="14" fillId="0" borderId="1" xfId="1" applyNumberFormat="1" applyFont="1" applyFill="1" applyBorder="1" applyAlignment="1">
      <alignment horizontal="center"/>
    </xf>
    <xf numFmtId="3" fontId="14" fillId="0" borderId="7" xfId="1" applyNumberFormat="1" applyFont="1" applyFill="1" applyBorder="1" applyAlignment="1">
      <alignment horizontal="left" indent="1"/>
    </xf>
    <xf numFmtId="3" fontId="15" fillId="0" borderId="5" xfId="2" applyNumberFormat="1" applyFont="1" applyFill="1" applyBorder="1" applyAlignment="1">
      <alignment horizontal="right" indent="1"/>
    </xf>
    <xf numFmtId="3" fontId="15" fillId="0" borderId="18" xfId="2" applyNumberFormat="1" applyFont="1" applyFill="1" applyBorder="1" applyAlignment="1">
      <alignment horizontal="center"/>
    </xf>
    <xf numFmtId="3" fontId="15" fillId="0" borderId="18" xfId="2" applyNumberFormat="1" applyFont="1" applyFill="1" applyBorder="1" applyAlignment="1">
      <alignment horizontal="right" indent="1"/>
    </xf>
    <xf numFmtId="3" fontId="14" fillId="0" borderId="5" xfId="1" applyNumberFormat="1" applyFont="1" applyFill="1" applyBorder="1" applyAlignment="1">
      <alignment horizontal="left" indent="1"/>
    </xf>
    <xf numFmtId="3" fontId="14" fillId="0" borderId="2" xfId="1" applyNumberFormat="1" applyFont="1" applyFill="1" applyBorder="1" applyAlignment="1">
      <alignment horizontal="center"/>
    </xf>
    <xf numFmtId="187" fontId="14" fillId="0" borderId="2" xfId="1" applyNumberFormat="1" applyFont="1" applyFill="1" applyBorder="1" applyAlignment="1">
      <alignment horizontal="center"/>
    </xf>
    <xf numFmtId="3" fontId="14" fillId="0" borderId="2" xfId="1" applyNumberFormat="1" applyFont="1" applyFill="1" applyBorder="1" applyAlignment="1">
      <alignment horizontal="left" indent="1"/>
    </xf>
    <xf numFmtId="3" fontId="14" fillId="0" borderId="18" xfId="1" applyNumberFormat="1" applyFont="1" applyFill="1" applyBorder="1" applyAlignment="1">
      <alignment horizontal="center"/>
    </xf>
    <xf numFmtId="187" fontId="14" fillId="0" borderId="18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15" fillId="0" borderId="13" xfId="1" applyNumberFormat="1" applyFont="1" applyFill="1" applyBorder="1" applyAlignment="1">
      <alignment horizontal="left"/>
    </xf>
    <xf numFmtId="187" fontId="20" fillId="0" borderId="13" xfId="1" applyNumberFormat="1" applyFont="1" applyFill="1" applyBorder="1" applyAlignment="1">
      <alignment horizontal="left"/>
    </xf>
    <xf numFmtId="187" fontId="14" fillId="0" borderId="13" xfId="1" applyNumberFormat="1" applyFont="1" applyFill="1" applyBorder="1" applyAlignment="1">
      <alignment horizontal="left"/>
    </xf>
    <xf numFmtId="0" fontId="15" fillId="0" borderId="2" xfId="0" applyFont="1" applyFill="1" applyBorder="1"/>
    <xf numFmtId="0" fontId="15" fillId="0" borderId="4" xfId="0" applyFont="1" applyFill="1" applyBorder="1"/>
    <xf numFmtId="0" fontId="15" fillId="0" borderId="3" xfId="0" applyFont="1" applyFill="1" applyBorder="1"/>
    <xf numFmtId="3" fontId="15" fillId="0" borderId="8" xfId="2" applyNumberFormat="1" applyFont="1" applyFill="1" applyBorder="1" applyAlignment="1">
      <alignment horizontal="center"/>
    </xf>
    <xf numFmtId="0" fontId="15" fillId="0" borderId="19" xfId="0" applyFont="1" applyFill="1" applyBorder="1"/>
    <xf numFmtId="3" fontId="15" fillId="0" borderId="6" xfId="1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>
      <alignment horizontal="center"/>
    </xf>
    <xf numFmtId="0" fontId="14" fillId="0" borderId="0" xfId="0" applyFont="1" applyFill="1"/>
    <xf numFmtId="187" fontId="14" fillId="8" borderId="7" xfId="2" quotePrefix="1" applyNumberFormat="1" applyFont="1" applyFill="1" applyBorder="1" applyAlignment="1" applyProtection="1">
      <alignment horizontal="center"/>
      <protection locked="0"/>
    </xf>
    <xf numFmtId="187" fontId="15" fillId="0" borderId="28" xfId="1" applyNumberFormat="1" applyFont="1" applyFill="1" applyBorder="1"/>
    <xf numFmtId="187" fontId="15" fillId="0" borderId="5" xfId="1" applyNumberFormat="1" applyFont="1" applyFill="1" applyBorder="1"/>
    <xf numFmtId="187" fontId="14" fillId="9" borderId="8" xfId="1" applyNumberFormat="1" applyFont="1" applyFill="1" applyBorder="1"/>
    <xf numFmtId="187" fontId="14" fillId="9" borderId="6" xfId="1" applyNumberFormat="1" applyFont="1" applyFill="1" applyBorder="1"/>
    <xf numFmtId="187" fontId="15" fillId="0" borderId="4" xfId="1" applyNumberFormat="1" applyFont="1" applyFill="1" applyBorder="1"/>
    <xf numFmtId="187" fontId="14" fillId="8" borderId="7" xfId="1" applyNumberFormat="1" applyFont="1" applyFill="1" applyBorder="1"/>
    <xf numFmtId="187" fontId="14" fillId="8" borderId="7" xfId="1" quotePrefix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5" fillId="0" borderId="7" xfId="0" applyNumberFormat="1" applyFont="1" applyFill="1" applyBorder="1"/>
    <xf numFmtId="3" fontId="15" fillId="0" borderId="7" xfId="1" applyNumberFormat="1" applyFont="1" applyFill="1" applyBorder="1" applyAlignment="1">
      <alignment horizontal="right" indent="1"/>
    </xf>
    <xf numFmtId="187" fontId="14" fillId="0" borderId="7" xfId="1" applyNumberFormat="1" applyFont="1" applyFill="1" applyBorder="1" applyAlignment="1" applyProtection="1">
      <alignment horizontal="center"/>
      <protection locked="0"/>
    </xf>
    <xf numFmtId="187" fontId="15" fillId="3" borderId="6" xfId="1" applyNumberFormat="1" applyFont="1" applyFill="1" applyBorder="1" applyAlignment="1">
      <alignment horizontal="center"/>
    </xf>
    <xf numFmtId="187" fontId="15" fillId="3" borderId="2" xfId="1" applyNumberFormat="1" applyFont="1" applyFill="1" applyBorder="1" applyAlignment="1">
      <alignment horizontal="center"/>
    </xf>
    <xf numFmtId="187" fontId="15" fillId="3" borderId="4" xfId="1" applyNumberFormat="1" applyFont="1" applyFill="1" applyBorder="1" applyAlignment="1">
      <alignment horizontal="center"/>
    </xf>
    <xf numFmtId="187" fontId="14" fillId="4" borderId="7" xfId="1" applyNumberFormat="1" applyFont="1" applyFill="1" applyBorder="1" applyAlignment="1">
      <alignment horizontal="center"/>
    </xf>
    <xf numFmtId="187" fontId="15" fillId="0" borderId="3" xfId="1" applyNumberFormat="1" applyFont="1" applyFill="1" applyBorder="1" applyAlignment="1">
      <alignment horizontal="center"/>
    </xf>
    <xf numFmtId="187" fontId="15" fillId="3" borderId="3" xfId="1" applyNumberFormat="1" applyFont="1" applyFill="1" applyBorder="1" applyAlignment="1">
      <alignment horizontal="center"/>
    </xf>
    <xf numFmtId="187" fontId="15" fillId="4" borderId="2" xfId="1" applyNumberFormat="1" applyFont="1" applyFill="1" applyBorder="1" applyAlignment="1">
      <alignment horizontal="center"/>
    </xf>
    <xf numFmtId="187" fontId="14" fillId="0" borderId="19" xfId="1" applyNumberFormat="1" applyFont="1" applyFill="1" applyBorder="1" applyAlignment="1">
      <alignment horizontal="center"/>
    </xf>
    <xf numFmtId="187" fontId="14" fillId="4" borderId="0" xfId="1" applyNumberFormat="1" applyFont="1" applyFill="1"/>
    <xf numFmtId="187" fontId="14" fillId="0" borderId="0" xfId="1" applyNumberFormat="1" applyFont="1" applyFill="1"/>
    <xf numFmtId="1" fontId="14" fillId="8" borderId="7" xfId="2" quotePrefix="1" applyNumberFormat="1" applyFont="1" applyFill="1" applyBorder="1" applyAlignment="1" applyProtection="1">
      <alignment horizontal="center"/>
      <protection locked="0"/>
    </xf>
    <xf numFmtId="187" fontId="14" fillId="8" borderId="7" xfId="1" quotePrefix="1" applyNumberFormat="1" applyFont="1" applyFill="1" applyBorder="1" applyAlignment="1" applyProtection="1">
      <alignment horizontal="center"/>
      <protection locked="0"/>
    </xf>
    <xf numFmtId="1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7" xfId="2" applyNumberFormat="1" applyFont="1" applyFill="1" applyBorder="1" applyAlignment="1" applyProtection="1">
      <alignment horizontal="center"/>
      <protection locked="0"/>
    </xf>
    <xf numFmtId="187" fontId="14" fillId="8" borderId="7" xfId="1" applyNumberFormat="1" applyFont="1" applyFill="1" applyBorder="1" applyAlignment="1" applyProtection="1">
      <alignment horizontal="center"/>
      <protection locked="0"/>
    </xf>
    <xf numFmtId="3" fontId="15" fillId="0" borderId="3" xfId="1" applyNumberFormat="1" applyFont="1" applyFill="1" applyBorder="1" applyAlignment="1">
      <alignment horizontal="center"/>
    </xf>
    <xf numFmtId="187" fontId="15" fillId="0" borderId="12" xfId="1" applyNumberFormat="1" applyFont="1" applyFill="1" applyBorder="1"/>
    <xf numFmtId="187" fontId="15" fillId="3" borderId="12" xfId="1" applyNumberFormat="1" applyFont="1" applyFill="1" applyBorder="1"/>
    <xf numFmtId="0" fontId="15" fillId="0" borderId="12" xfId="0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87" fontId="15" fillId="3" borderId="5" xfId="1" applyNumberFormat="1" applyFont="1" applyFill="1" applyBorder="1" applyAlignment="1">
      <alignment horizontal="center"/>
    </xf>
    <xf numFmtId="0" fontId="15" fillId="0" borderId="5" xfId="0" applyFont="1" applyFill="1" applyBorder="1"/>
    <xf numFmtId="43" fontId="15" fillId="0" borderId="4" xfId="1" applyFont="1" applyFill="1" applyBorder="1"/>
    <xf numFmtId="187" fontId="15" fillId="0" borderId="18" xfId="1" applyNumberFormat="1" applyFont="1" applyFill="1" applyBorder="1"/>
    <xf numFmtId="0" fontId="20" fillId="0" borderId="2" xfId="0" applyFont="1" applyFill="1" applyBorder="1"/>
    <xf numFmtId="43" fontId="15" fillId="0" borderId="2" xfId="1" applyFont="1" applyFill="1" applyBorder="1"/>
    <xf numFmtId="0" fontId="20" fillId="0" borderId="3" xfId="0" applyFont="1" applyFill="1" applyBorder="1"/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3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2" quotePrefix="1" applyNumberFormat="1" applyFont="1" applyFill="1" applyBorder="1" applyAlignment="1" applyProtection="1">
      <alignment horizontal="center"/>
      <protection locked="0"/>
    </xf>
    <xf numFmtId="187" fontId="15" fillId="0" borderId="20" xfId="1" applyNumberFormat="1" applyFont="1" applyFill="1" applyBorder="1" applyAlignment="1">
      <alignment horizontal="center"/>
    </xf>
    <xf numFmtId="187" fontId="15" fillId="0" borderId="10" xfId="1" applyNumberFormat="1" applyFont="1" applyFill="1" applyBorder="1" applyAlignment="1">
      <alignment horizontal="center"/>
    </xf>
    <xf numFmtId="187" fontId="15" fillId="0" borderId="20" xfId="2" applyNumberFormat="1" applyFont="1" applyFill="1" applyBorder="1" applyAlignment="1">
      <alignment horizontal="center"/>
    </xf>
    <xf numFmtId="187" fontId="15" fillId="0" borderId="10" xfId="2" applyNumberFormat="1" applyFont="1" applyFill="1" applyBorder="1" applyAlignment="1">
      <alignment horizontal="center"/>
    </xf>
    <xf numFmtId="187" fontId="15" fillId="0" borderId="24" xfId="2" applyNumberFormat="1" applyFont="1" applyFill="1" applyBorder="1" applyAlignment="1">
      <alignment horizontal="center"/>
    </xf>
    <xf numFmtId="187" fontId="15" fillId="0" borderId="29" xfId="2" applyNumberFormat="1" applyFont="1" applyFill="1" applyBorder="1" applyAlignment="1">
      <alignment horizontal="center"/>
    </xf>
    <xf numFmtId="0" fontId="15" fillId="0" borderId="18" xfId="0" applyFont="1" applyFill="1" applyBorder="1"/>
    <xf numFmtId="187" fontId="15" fillId="0" borderId="4" xfId="1" applyNumberFormat="1" applyFont="1" applyFill="1" applyBorder="1" applyAlignment="1"/>
    <xf numFmtId="187" fontId="14" fillId="0" borderId="21" xfId="1" applyNumberFormat="1" applyFont="1" applyFill="1" applyBorder="1" applyAlignment="1">
      <alignment horizontal="center"/>
    </xf>
    <xf numFmtId="3" fontId="15" fillId="0" borderId="3" xfId="1" applyNumberFormat="1" applyFont="1" applyFill="1" applyBorder="1" applyAlignment="1">
      <alignment horizontal="right" indent="1"/>
    </xf>
    <xf numFmtId="187" fontId="15" fillId="0" borderId="3" xfId="1" applyNumberFormat="1" applyFont="1" applyFill="1" applyBorder="1" applyAlignment="1"/>
    <xf numFmtId="3" fontId="14" fillId="0" borderId="3" xfId="1" applyNumberFormat="1" applyFont="1" applyFill="1" applyBorder="1" applyAlignment="1">
      <alignment horizontal="left" indent="1"/>
    </xf>
    <xf numFmtId="3" fontId="14" fillId="0" borderId="6" xfId="1" applyNumberFormat="1" applyFont="1" applyFill="1" applyBorder="1" applyAlignment="1">
      <alignment horizontal="left" indent="1"/>
    </xf>
    <xf numFmtId="3" fontId="28" fillId="0" borderId="5" xfId="2" applyNumberFormat="1" applyFont="1" applyFill="1" applyBorder="1" applyAlignment="1">
      <alignment horizontal="left" indent="1"/>
    </xf>
    <xf numFmtId="3" fontId="28" fillId="0" borderId="2" xfId="2" applyNumberFormat="1" applyFont="1" applyFill="1" applyBorder="1" applyAlignment="1">
      <alignment horizontal="left" indent="1"/>
    </xf>
    <xf numFmtId="3" fontId="28" fillId="0" borderId="18" xfId="2" applyNumberFormat="1" applyFont="1" applyFill="1" applyBorder="1" applyAlignment="1">
      <alignment horizontal="left" indent="1"/>
    </xf>
    <xf numFmtId="3" fontId="28" fillId="0" borderId="4" xfId="2" applyNumberFormat="1" applyFont="1" applyFill="1" applyBorder="1" applyAlignment="1">
      <alignment horizontal="left" indent="1"/>
    </xf>
    <xf numFmtId="3" fontId="14" fillId="0" borderId="2" xfId="1" applyNumberFormat="1" applyFont="1" applyFill="1" applyBorder="1" applyAlignment="1">
      <alignment horizontal="right"/>
    </xf>
    <xf numFmtId="3" fontId="14" fillId="0" borderId="18" xfId="1" applyNumberFormat="1" applyFont="1" applyFill="1" applyBorder="1" applyAlignment="1">
      <alignment horizontal="right"/>
    </xf>
    <xf numFmtId="187" fontId="15" fillId="3" borderId="2" xfId="1" applyNumberFormat="1" applyFont="1" applyFill="1" applyBorder="1"/>
    <xf numFmtId="187" fontId="15" fillId="3" borderId="18" xfId="1" applyNumberFormat="1" applyFont="1" applyFill="1" applyBorder="1" applyAlignment="1">
      <alignment horizontal="center"/>
    </xf>
    <xf numFmtId="43" fontId="15" fillId="0" borderId="18" xfId="1" applyFont="1" applyFill="1" applyBorder="1"/>
    <xf numFmtId="0" fontId="20" fillId="0" borderId="5" xfId="0" applyFont="1" applyFill="1" applyBorder="1"/>
    <xf numFmtId="0" fontId="15" fillId="0" borderId="5" xfId="0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187" fontId="14" fillId="4" borderId="2" xfId="1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187" fontId="23" fillId="0" borderId="9" xfId="1" applyNumberFormat="1" applyFont="1" applyFill="1" applyBorder="1" applyAlignment="1">
      <alignment horizontal="center"/>
    </xf>
    <xf numFmtId="187" fontId="23" fillId="0" borderId="11" xfId="1" applyNumberFormat="1" applyFont="1" applyFill="1" applyBorder="1" applyAlignment="1">
      <alignment horizontal="center"/>
    </xf>
    <xf numFmtId="187" fontId="23" fillId="0" borderId="13" xfId="1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3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wrapText="1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3" fontId="14" fillId="0" borderId="9" xfId="2" applyNumberFormat="1" applyFont="1" applyFill="1" applyBorder="1" applyAlignment="1" applyProtection="1">
      <alignment horizontal="center" vertical="center"/>
      <protection locked="0"/>
    </xf>
    <xf numFmtId="3" fontId="14" fillId="0" borderId="11" xfId="2" applyNumberFormat="1" applyFont="1" applyFill="1" applyBorder="1" applyAlignment="1" applyProtection="1">
      <alignment horizontal="center" vertical="center"/>
      <protection locked="0"/>
    </xf>
    <xf numFmtId="3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14" fillId="0" borderId="9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wrapText="1"/>
    </xf>
    <xf numFmtId="3" fontId="14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>
      <alignment wrapText="1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/>
      <protection locked="0"/>
    </xf>
    <xf numFmtId="187" fontId="26" fillId="0" borderId="19" xfId="2" applyNumberFormat="1" applyFont="1" applyFill="1" applyBorder="1" applyAlignment="1" applyProtection="1">
      <alignment horizontal="center" vertical="center"/>
      <protection locked="0"/>
    </xf>
    <xf numFmtId="187" fontId="26" fillId="0" borderId="9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3" fontId="3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0" xfId="0" applyNumberFormat="1" applyFont="1" applyFill="1" applyBorder="1" applyAlignment="1">
      <alignment horizontal="center"/>
    </xf>
    <xf numFmtId="187" fontId="23" fillId="6" borderId="0" xfId="0" applyNumberFormat="1" applyFont="1" applyFill="1" applyBorder="1" applyAlignment="1">
      <alignment horizontal="center"/>
    </xf>
    <xf numFmtId="187" fontId="23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6" borderId="19" xfId="0" applyFont="1" applyFill="1" applyBorder="1" applyAlignment="1">
      <alignment wrapText="1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3" fillId="6" borderId="1" xfId="2" applyNumberFormat="1" applyFont="1" applyFill="1" applyBorder="1" applyAlignment="1" applyProtection="1">
      <alignment horizontal="center" vertical="center"/>
      <protection locked="0"/>
    </xf>
    <xf numFmtId="187" fontId="23" fillId="6" borderId="19" xfId="2" applyNumberFormat="1" applyFont="1" applyFill="1" applyBorder="1" applyAlignment="1" applyProtection="1">
      <alignment horizontal="center" vertical="center"/>
      <protection locked="0"/>
    </xf>
    <xf numFmtId="0" fontId="23" fillId="6" borderId="22" xfId="0" applyFont="1" applyFill="1" applyBorder="1" applyAlignment="1">
      <alignment horizontal="center"/>
    </xf>
    <xf numFmtId="187" fontId="14" fillId="8" borderId="9" xfId="1" applyNumberFormat="1" applyFont="1" applyFill="1" applyBorder="1" applyAlignment="1">
      <alignment horizontal="center"/>
    </xf>
    <xf numFmtId="187" fontId="14" fillId="8" borderId="11" xfId="1" applyNumberFormat="1" applyFont="1" applyFill="1" applyBorder="1" applyAlignment="1">
      <alignment horizontal="center"/>
    </xf>
    <xf numFmtId="187" fontId="14" fillId="8" borderId="13" xfId="1" applyNumberFormat="1" applyFont="1" applyFill="1" applyBorder="1" applyAlignment="1">
      <alignment horizontal="center"/>
    </xf>
    <xf numFmtId="0" fontId="18" fillId="4" borderId="8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187" fontId="20" fillId="8" borderId="9" xfId="1" applyNumberFormat="1" applyFont="1" applyFill="1" applyBorder="1" applyAlignment="1">
      <alignment horizontal="center"/>
    </xf>
    <xf numFmtId="187" fontId="20" fillId="8" borderId="11" xfId="1" applyNumberFormat="1" applyFont="1" applyFill="1" applyBorder="1" applyAlignment="1">
      <alignment horizontal="center"/>
    </xf>
    <xf numFmtId="187" fontId="20" fillId="8" borderId="13" xfId="1" applyNumberFormat="1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187" fontId="23" fillId="6" borderId="14" xfId="1" applyNumberFormat="1" applyFont="1" applyFill="1" applyBorder="1" applyAlignment="1">
      <alignment horizontal="center"/>
    </xf>
    <xf numFmtId="187" fontId="23" fillId="6" borderId="25" xfId="1" applyNumberFormat="1" applyFont="1" applyFill="1" applyBorder="1" applyAlignment="1">
      <alignment horizontal="center"/>
    </xf>
    <xf numFmtId="187" fontId="23" fillId="6" borderId="15" xfId="1" applyNumberFormat="1" applyFont="1" applyFill="1" applyBorder="1" applyAlignment="1">
      <alignment horizontal="center"/>
    </xf>
    <xf numFmtId="187" fontId="14" fillId="0" borderId="11" xfId="0" applyNumberFormat="1" applyFont="1" applyFill="1" applyBorder="1" applyAlignment="1">
      <alignment horizontal="center"/>
    </xf>
    <xf numFmtId="187" fontId="14" fillId="0" borderId="13" xfId="0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32" fillId="4" borderId="8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187" fontId="14" fillId="0" borderId="15" xfId="2" quotePrefix="1" applyNumberFormat="1" applyFont="1" applyFill="1" applyBorder="1" applyAlignment="1" applyProtection="1">
      <alignment horizontal="center" vertical="center" wrapText="1"/>
      <protection locked="0"/>
    </xf>
    <xf numFmtId="187" fontId="2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1" xfId="2" applyNumberFormat="1" applyFont="1" applyFill="1" applyBorder="1" applyAlignment="1" applyProtection="1">
      <alignment horizontal="center" vertical="center"/>
      <protection locked="0"/>
    </xf>
    <xf numFmtId="187" fontId="23" fillId="0" borderId="19" xfId="2" applyNumberFormat="1" applyFont="1" applyFill="1" applyBorder="1" applyAlignment="1" applyProtection="1">
      <alignment horizontal="center" vertical="center"/>
      <protection locked="0"/>
    </xf>
    <xf numFmtId="187" fontId="23" fillId="9" borderId="9" xfId="0" applyNumberFormat="1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6" xfId="0" applyNumberFormat="1" applyFont="1" applyFill="1" applyBorder="1" applyAlignment="1">
      <alignment horizontal="center" vertical="center"/>
    </xf>
    <xf numFmtId="0" fontId="14" fillId="9" borderId="19" xfId="0" applyNumberFormat="1" applyFont="1" applyFill="1" applyBorder="1" applyAlignment="1">
      <alignment horizontal="center" vertical="center"/>
    </xf>
    <xf numFmtId="3" fontId="23" fillId="9" borderId="1" xfId="2" applyNumberFormat="1" applyFont="1" applyFill="1" applyBorder="1" applyAlignment="1" applyProtection="1">
      <alignment horizontal="center" vertical="center"/>
      <protection locked="0"/>
    </xf>
    <xf numFmtId="3" fontId="23" fillId="9" borderId="19" xfId="2" applyNumberFormat="1" applyFont="1" applyFill="1" applyBorder="1" applyAlignment="1" applyProtection="1">
      <alignment horizontal="center" vertical="center"/>
      <protection locked="0"/>
    </xf>
    <xf numFmtId="0" fontId="32" fillId="4" borderId="17" xfId="0" applyFont="1" applyFill="1" applyBorder="1" applyAlignment="1">
      <alignment horizontal="left"/>
    </xf>
    <xf numFmtId="187" fontId="14" fillId="9" borderId="9" xfId="0" applyNumberFormat="1" applyFont="1" applyFill="1" applyBorder="1" applyAlignment="1">
      <alignment horizontal="center"/>
    </xf>
    <xf numFmtId="187" fontId="14" fillId="9" borderId="13" xfId="0" applyNumberFormat="1" applyFont="1" applyFill="1" applyBorder="1" applyAlignment="1">
      <alignment horizontal="center"/>
    </xf>
    <xf numFmtId="187" fontId="14" fillId="0" borderId="23" xfId="2" quotePrefix="1" applyNumberFormat="1" applyFont="1" applyFill="1" applyBorder="1" applyAlignment="1" applyProtection="1">
      <alignment horizontal="center" vertical="center" wrapText="1"/>
      <protection locked="0"/>
    </xf>
    <xf numFmtId="187" fontId="23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4" fillId="8" borderId="7" xfId="0" applyFont="1" applyFill="1" applyBorder="1" applyAlignment="1">
      <alignment horizontal="center"/>
    </xf>
    <xf numFmtId="3" fontId="14" fillId="8" borderId="7" xfId="2" applyNumberFormat="1" applyFont="1" applyFill="1" applyBorder="1" applyAlignment="1" applyProtection="1">
      <alignment horizontal="center" vertical="center"/>
      <protection locked="0"/>
    </xf>
    <xf numFmtId="187" fontId="14" fillId="8" borderId="7" xfId="1" applyNumberFormat="1" applyFont="1" applyFill="1" applyBorder="1" applyAlignment="1">
      <alignment horizontal="center" vertical="center" wrapText="1"/>
    </xf>
    <xf numFmtId="187" fontId="14" fillId="8" borderId="7" xfId="1" applyNumberFormat="1" applyFont="1" applyFill="1" applyBorder="1" applyAlignment="1" applyProtection="1">
      <alignment horizontal="center" vertical="center"/>
      <protection locked="0"/>
    </xf>
    <xf numFmtId="187" fontId="14" fillId="8" borderId="7" xfId="1" quotePrefix="1" applyNumberFormat="1" applyFont="1" applyFill="1" applyBorder="1" applyAlignment="1" applyProtection="1">
      <alignment horizontal="center" vertical="center"/>
      <protection locked="0"/>
    </xf>
    <xf numFmtId="187" fontId="14" fillId="8" borderId="7" xfId="1" applyNumberFormat="1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87" fontId="24" fillId="0" borderId="14" xfId="0" applyNumberFormat="1" applyFont="1" applyFill="1" applyBorder="1" applyAlignment="1">
      <alignment horizontal="center"/>
    </xf>
    <xf numFmtId="187" fontId="24" fillId="0" borderId="25" xfId="0" applyNumberFormat="1" applyFont="1" applyFill="1" applyBorder="1" applyAlignment="1">
      <alignment horizontal="center"/>
    </xf>
    <xf numFmtId="187" fontId="24" fillId="0" borderId="15" xfId="0" applyNumberFormat="1" applyFont="1" applyFill="1" applyBorder="1" applyAlignment="1">
      <alignment horizontal="center"/>
    </xf>
    <xf numFmtId="187" fontId="24" fillId="0" borderId="21" xfId="0" applyNumberFormat="1" applyFont="1" applyFill="1" applyBorder="1" applyAlignment="1">
      <alignment horizontal="center"/>
    </xf>
    <xf numFmtId="187" fontId="24" fillId="0" borderId="22" xfId="0" applyNumberFormat="1" applyFont="1" applyFill="1" applyBorder="1" applyAlignment="1">
      <alignment horizontal="center"/>
    </xf>
    <xf numFmtId="187" fontId="24" fillId="0" borderId="23" xfId="0" applyNumberFormat="1" applyFont="1" applyFill="1" applyBorder="1" applyAlignment="1">
      <alignment horizontal="center"/>
    </xf>
    <xf numFmtId="187" fontId="16" fillId="0" borderId="9" xfId="0" applyNumberFormat="1" applyFont="1" applyFill="1" applyBorder="1" applyAlignment="1">
      <alignment horizontal="center"/>
    </xf>
    <xf numFmtId="187" fontId="16" fillId="0" borderId="11" xfId="0" applyNumberFormat="1" applyFont="1" applyFill="1" applyBorder="1" applyAlignment="1">
      <alignment horizontal="center"/>
    </xf>
    <xf numFmtId="187" fontId="16" fillId="0" borderId="13" xfId="0" applyNumberFormat="1" applyFont="1" applyFill="1" applyBorder="1" applyAlignment="1">
      <alignment horizontal="center"/>
    </xf>
    <xf numFmtId="187" fontId="14" fillId="0" borderId="9" xfId="2" applyNumberFormat="1" applyFont="1" applyFill="1" applyBorder="1" applyAlignment="1" applyProtection="1">
      <alignment horizontal="center" vertical="center"/>
      <protection locked="0"/>
    </xf>
    <xf numFmtId="187" fontId="14" fillId="0" borderId="11" xfId="2" applyNumberFormat="1" applyFont="1" applyFill="1" applyBorder="1" applyAlignment="1" applyProtection="1">
      <alignment horizontal="center" vertical="center"/>
      <protection locked="0"/>
    </xf>
    <xf numFmtId="187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23" fillId="0" borderId="22" xfId="0" applyNumberFormat="1" applyFont="1" applyFill="1" applyBorder="1" applyAlignment="1">
      <alignment horizontal="center"/>
    </xf>
    <xf numFmtId="187" fontId="14" fillId="0" borderId="22" xfId="0" applyNumberFormat="1" applyFont="1" applyFill="1" applyBorder="1" applyAlignment="1">
      <alignment horizontal="center"/>
    </xf>
    <xf numFmtId="187" fontId="23" fillId="0" borderId="9" xfId="2" applyNumberFormat="1" applyFont="1" applyFill="1" applyBorder="1" applyAlignment="1" applyProtection="1">
      <alignment horizontal="center" vertical="center"/>
      <protection locked="0"/>
    </xf>
    <xf numFmtId="187" fontId="23" fillId="0" borderId="11" xfId="2" applyNumberFormat="1" applyFont="1" applyFill="1" applyBorder="1" applyAlignment="1" applyProtection="1">
      <alignment horizontal="center" vertical="center"/>
      <protection locked="0"/>
    </xf>
    <xf numFmtId="187" fontId="23" fillId="0" borderId="13" xfId="2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wrapText="1"/>
    </xf>
    <xf numFmtId="187" fontId="23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3" fontId="14" fillId="8" borderId="1" xfId="2" applyNumberFormat="1" applyFont="1" applyFill="1" applyBorder="1" applyAlignment="1" applyProtection="1">
      <alignment horizontal="center" vertical="center"/>
      <protection locked="0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4" fillId="8" borderId="1" xfId="1" applyNumberFormat="1" applyFont="1" applyFill="1" applyBorder="1" applyAlignment="1">
      <alignment horizontal="center" wrapText="1"/>
    </xf>
    <xf numFmtId="187" fontId="14" fillId="8" borderId="19" xfId="1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_นักศึกษาปกติ50จากส่งเสริม20_06_5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selection activeCell="C34" sqref="C34"/>
    </sheetView>
  </sheetViews>
  <sheetFormatPr defaultRowHeight="12.75"/>
  <cols>
    <col min="1" max="1" width="12.42578125" customWidth="1"/>
    <col min="2" max="2" width="16.42578125" style="34" customWidth="1"/>
    <col min="3" max="3" width="16.140625" style="34" customWidth="1"/>
    <col min="4" max="4" width="10.85546875" style="34" customWidth="1"/>
    <col min="5" max="5" width="11.140625" customWidth="1"/>
    <col min="8" max="8" width="20.5703125" customWidth="1"/>
  </cols>
  <sheetData>
    <row r="1" spans="1:11" ht="15">
      <c r="A1" s="780" t="s">
        <v>175</v>
      </c>
      <c r="B1" s="780"/>
      <c r="C1" s="780"/>
      <c r="D1" s="780"/>
      <c r="E1" s="780"/>
      <c r="F1" s="780"/>
      <c r="G1" s="780"/>
      <c r="K1" s="55"/>
    </row>
    <row r="2" spans="1:11" ht="14.25">
      <c r="K2" s="37"/>
    </row>
    <row r="3" spans="1:11" s="21" customFormat="1" ht="15">
      <c r="A3" s="24" t="s">
        <v>60</v>
      </c>
      <c r="B3" s="35"/>
      <c r="C3" s="35"/>
      <c r="D3" s="35"/>
      <c r="H3" s="63" t="s">
        <v>83</v>
      </c>
      <c r="K3" s="37"/>
    </row>
    <row r="4" spans="1:11" s="21" customFormat="1" ht="14.25">
      <c r="B4" s="35"/>
      <c r="C4" s="35"/>
      <c r="D4" s="35"/>
      <c r="K4" s="56"/>
    </row>
    <row r="5" spans="1:11" s="21" customFormat="1" ht="15">
      <c r="B5" s="26" t="s">
        <v>43</v>
      </c>
      <c r="C5" s="32" t="s">
        <v>44</v>
      </c>
      <c r="D5" s="33" t="s">
        <v>45</v>
      </c>
      <c r="E5" s="32" t="s">
        <v>3</v>
      </c>
      <c r="K5" s="57"/>
    </row>
    <row r="6" spans="1:11" s="21" customFormat="1" ht="14.25">
      <c r="B6" s="25" t="s">
        <v>46</v>
      </c>
      <c r="C6" s="36" t="s">
        <v>50</v>
      </c>
      <c r="D6" s="37" t="s">
        <v>50</v>
      </c>
      <c r="E6" s="36" t="s">
        <v>50</v>
      </c>
      <c r="H6" s="21" t="s">
        <v>52</v>
      </c>
      <c r="I6" s="21">
        <f>6+32+42+47+42+28</f>
        <v>197</v>
      </c>
      <c r="K6" s="37"/>
    </row>
    <row r="7" spans="1:11" s="21" customFormat="1" ht="14.25">
      <c r="B7" s="29" t="s">
        <v>47</v>
      </c>
      <c r="C7" s="38">
        <f>ปกติ!G136-(C9+C10)</f>
        <v>9409</v>
      </c>
      <c r="D7" s="39">
        <f>กศ.ป.!I83-(D8+D9+D10)</f>
        <v>713</v>
      </c>
      <c r="E7" s="38">
        <f>SUM(C7:D7)</f>
        <v>10122</v>
      </c>
      <c r="H7" s="21" t="s">
        <v>53</v>
      </c>
      <c r="I7" s="21">
        <f>14+19+11+15+9+19</f>
        <v>87</v>
      </c>
      <c r="K7" s="37"/>
    </row>
    <row r="8" spans="1:11" s="21" customFormat="1" ht="14.25">
      <c r="B8" s="29" t="s">
        <v>40</v>
      </c>
      <c r="C8" s="38" t="s">
        <v>50</v>
      </c>
      <c r="D8" s="39">
        <f>กศ.ป.!I19</f>
        <v>0</v>
      </c>
      <c r="E8" s="38">
        <f>SUM(D8)</f>
        <v>0</v>
      </c>
      <c r="H8" s="21" t="s">
        <v>54</v>
      </c>
      <c r="I8" s="21">
        <f>2+18+12+69+36+45</f>
        <v>182</v>
      </c>
      <c r="K8" s="56"/>
    </row>
    <row r="9" spans="1:11" s="21" customFormat="1" ht="14.25">
      <c r="B9" s="29" t="s">
        <v>48</v>
      </c>
      <c r="C9" s="38">
        <f>ปกติ!G47+ปกติ!G78+ปกติ!G135</f>
        <v>18</v>
      </c>
      <c r="D9" s="39">
        <v>946</v>
      </c>
      <c r="E9" s="38">
        <f>SUM(C9:D9)</f>
        <v>964</v>
      </c>
      <c r="F9" s="31"/>
      <c r="H9" s="21" t="s">
        <v>55</v>
      </c>
      <c r="I9" s="21">
        <f>11+17+16</f>
        <v>44</v>
      </c>
      <c r="K9" s="57"/>
    </row>
    <row r="10" spans="1:11" s="21" customFormat="1" ht="14.25">
      <c r="B10" s="25" t="s">
        <v>49</v>
      </c>
      <c r="C10" s="36">
        <f>ปกติ!G29+ปกติ!G50</f>
        <v>37</v>
      </c>
      <c r="D10" s="37">
        <f>บัณฑิตศึกษา!I19+บัณฑิตศึกษา!I22+บัณฑิตศึกษา!I35</f>
        <v>193</v>
      </c>
      <c r="E10" s="36">
        <f>SUM(D10)</f>
        <v>193</v>
      </c>
      <c r="H10" s="21" t="s">
        <v>56</v>
      </c>
      <c r="I10" s="21">
        <f>13+3</f>
        <v>16</v>
      </c>
      <c r="K10" s="57"/>
    </row>
    <row r="11" spans="1:11" s="21" customFormat="1" ht="15">
      <c r="B11" s="26" t="s">
        <v>3</v>
      </c>
      <c r="C11" s="32">
        <f>SUM(C6:C10)</f>
        <v>9464</v>
      </c>
      <c r="D11" s="32">
        <f>SUM(D6:D10)</f>
        <v>1852</v>
      </c>
      <c r="E11" s="32">
        <f>SUM(E7:E10)</f>
        <v>11279</v>
      </c>
      <c r="F11" s="31"/>
      <c r="H11" s="21" t="s">
        <v>57</v>
      </c>
      <c r="I11" s="21">
        <v>52</v>
      </c>
      <c r="K11" s="57"/>
    </row>
    <row r="12" spans="1:11" s="21" customFormat="1" ht="15">
      <c r="A12" s="40"/>
      <c r="B12" s="41"/>
      <c r="C12" s="41"/>
      <c r="D12" s="41">
        <v>153</v>
      </c>
      <c r="H12" s="22" t="s">
        <v>3</v>
      </c>
      <c r="I12" s="21">
        <f>SUM(I6:I11)</f>
        <v>578</v>
      </c>
      <c r="K12" s="57"/>
    </row>
    <row r="13" spans="1:11" s="21" customFormat="1" ht="15">
      <c r="A13" s="24" t="s">
        <v>61</v>
      </c>
      <c r="B13" s="35"/>
      <c r="C13" s="35"/>
      <c r="D13" s="35"/>
      <c r="H13" s="21" t="s">
        <v>58</v>
      </c>
      <c r="I13" s="21">
        <f>16+20</f>
        <v>36</v>
      </c>
    </row>
    <row r="14" spans="1:11" s="21" customFormat="1" ht="14.25">
      <c r="B14" s="35"/>
      <c r="C14" s="35"/>
      <c r="D14" s="35"/>
    </row>
    <row r="15" spans="1:11" s="21" customFormat="1" ht="15">
      <c r="B15" s="26" t="s">
        <v>43</v>
      </c>
      <c r="C15" s="32" t="s">
        <v>44</v>
      </c>
      <c r="D15" s="33" t="s">
        <v>45</v>
      </c>
      <c r="E15" s="32" t="s">
        <v>3</v>
      </c>
      <c r="H15" s="23" t="s">
        <v>59</v>
      </c>
      <c r="I15" s="21">
        <f>I12+I13</f>
        <v>614</v>
      </c>
    </row>
    <row r="16" spans="1:11" s="21" customFormat="1" ht="15">
      <c r="B16" s="25" t="s">
        <v>46</v>
      </c>
      <c r="C16" s="36">
        <v>100</v>
      </c>
      <c r="D16" s="37">
        <v>6</v>
      </c>
      <c r="E16" s="52">
        <f>SUM(C16:D16)</f>
        <v>106</v>
      </c>
    </row>
    <row r="17" spans="2:14" s="21" customFormat="1" ht="15">
      <c r="B17" s="29" t="s">
        <v>47</v>
      </c>
      <c r="C17" s="38">
        <v>1111</v>
      </c>
      <c r="D17" s="39">
        <f>307-6</f>
        <v>301</v>
      </c>
      <c r="E17" s="53">
        <f>SUM(C17:D17)</f>
        <v>1412</v>
      </c>
    </row>
    <row r="18" spans="2:14" s="21" customFormat="1" ht="15">
      <c r="B18" s="29" t="s">
        <v>40</v>
      </c>
      <c r="C18" s="38" t="s">
        <v>50</v>
      </c>
      <c r="D18" s="39">
        <v>6</v>
      </c>
      <c r="E18" s="53">
        <f>SUM(D18)</f>
        <v>6</v>
      </c>
      <c r="H18" s="775" t="s">
        <v>67</v>
      </c>
      <c r="I18" s="781" t="s">
        <v>44</v>
      </c>
      <c r="J18" s="781"/>
      <c r="K18" s="781" t="s">
        <v>45</v>
      </c>
      <c r="L18" s="781"/>
      <c r="M18" s="781"/>
      <c r="N18" s="775" t="s">
        <v>3</v>
      </c>
    </row>
    <row r="19" spans="2:14" s="21" customFormat="1" ht="15">
      <c r="B19" s="29" t="s">
        <v>48</v>
      </c>
      <c r="C19" s="38" t="s">
        <v>50</v>
      </c>
      <c r="D19" s="39">
        <v>116</v>
      </c>
      <c r="E19" s="53">
        <f>SUM(D19)</f>
        <v>116</v>
      </c>
      <c r="H19" s="776"/>
      <c r="I19" s="27" t="s">
        <v>65</v>
      </c>
      <c r="J19" s="27" t="s">
        <v>66</v>
      </c>
      <c r="K19" s="27" t="s">
        <v>65</v>
      </c>
      <c r="L19" s="27" t="s">
        <v>66</v>
      </c>
      <c r="M19" s="27" t="s">
        <v>51</v>
      </c>
      <c r="N19" s="776"/>
    </row>
    <row r="20" spans="2:14" s="21" customFormat="1" ht="15">
      <c r="B20" s="29" t="s">
        <v>49</v>
      </c>
      <c r="C20" s="38" t="s">
        <v>50</v>
      </c>
      <c r="D20" s="39" t="s">
        <v>50</v>
      </c>
      <c r="E20" s="53" t="s">
        <v>50</v>
      </c>
      <c r="H20" s="42" t="s">
        <v>62</v>
      </c>
      <c r="I20" s="45" t="s">
        <v>50</v>
      </c>
      <c r="J20" s="46">
        <f>5+5+2+1</f>
        <v>13</v>
      </c>
      <c r="K20" s="45" t="s">
        <v>50</v>
      </c>
      <c r="L20" s="46">
        <f>(5+49+3+9+2+5+1)-6</f>
        <v>68</v>
      </c>
      <c r="M20" s="47">
        <f>31+25+52</f>
        <v>108</v>
      </c>
      <c r="N20" s="46"/>
    </row>
    <row r="21" spans="2:14" s="21" customFormat="1" ht="14.25">
      <c r="B21" s="25"/>
      <c r="C21" s="36"/>
      <c r="D21" s="37"/>
      <c r="E21" s="36"/>
      <c r="H21" s="30" t="s">
        <v>40</v>
      </c>
      <c r="I21" s="48" t="s">
        <v>50</v>
      </c>
      <c r="J21" s="38" t="s">
        <v>50</v>
      </c>
      <c r="K21" s="48" t="s">
        <v>50</v>
      </c>
      <c r="L21" s="38">
        <f>2+1+2+1</f>
        <v>6</v>
      </c>
      <c r="M21" s="49" t="s">
        <v>50</v>
      </c>
      <c r="N21" s="38"/>
    </row>
    <row r="22" spans="2:14" s="21" customFormat="1" ht="15">
      <c r="B22" s="26" t="s">
        <v>3</v>
      </c>
      <c r="C22" s="32">
        <f>SUM(C16:C20)</f>
        <v>1211</v>
      </c>
      <c r="D22" s="32">
        <f>SUM(D16:D20)</f>
        <v>429</v>
      </c>
      <c r="E22" s="32">
        <f>SUM(C22:D22)</f>
        <v>1640</v>
      </c>
      <c r="H22" s="30" t="s">
        <v>56</v>
      </c>
      <c r="I22" s="48">
        <f>2+88+6+4</f>
        <v>100</v>
      </c>
      <c r="J22" s="38">
        <f>50+7+2+7+70+11+18+6+4+2+2+73+86+14</f>
        <v>352</v>
      </c>
      <c r="K22" s="48">
        <f>2+1</f>
        <v>3</v>
      </c>
      <c r="L22" s="38">
        <f>1+1+2+1+6+8+2+3</f>
        <v>24</v>
      </c>
      <c r="M22" s="49" t="s">
        <v>50</v>
      </c>
      <c r="N22" s="38"/>
    </row>
    <row r="23" spans="2:14" s="21" customFormat="1" ht="14.25">
      <c r="B23" s="35"/>
      <c r="C23" s="35"/>
      <c r="D23" s="35"/>
      <c r="H23" s="30" t="s">
        <v>63</v>
      </c>
      <c r="I23" s="48" t="s">
        <v>50</v>
      </c>
      <c r="J23" s="38">
        <f>5+2+1+66+169+10+1</f>
        <v>254</v>
      </c>
      <c r="K23" s="48">
        <f>2+1</f>
        <v>3</v>
      </c>
      <c r="L23" s="38">
        <f>6+1+1+12+5+10</f>
        <v>35</v>
      </c>
      <c r="M23" s="49">
        <f>1+3+4</f>
        <v>8</v>
      </c>
      <c r="N23" s="38"/>
    </row>
    <row r="24" spans="2:14" s="21" customFormat="1" ht="14.25">
      <c r="B24" s="37"/>
      <c r="C24" s="37"/>
      <c r="D24" s="37"/>
      <c r="E24" s="57"/>
      <c r="F24" s="57"/>
      <c r="H24" s="28" t="s">
        <v>64</v>
      </c>
      <c r="I24" s="50" t="s">
        <v>50</v>
      </c>
      <c r="J24" s="36">
        <f>21+16+1+222+22+5+205</f>
        <v>492</v>
      </c>
      <c r="K24" s="50"/>
      <c r="L24" s="36">
        <f>109+19+13+5+24+4</f>
        <v>174</v>
      </c>
      <c r="M24" s="51" t="s">
        <v>50</v>
      </c>
      <c r="N24" s="36"/>
    </row>
    <row r="25" spans="2:14" s="21" customFormat="1" ht="15.75">
      <c r="B25" s="37"/>
      <c r="C25" s="140"/>
      <c r="D25" s="37"/>
      <c r="E25" s="57"/>
      <c r="F25" s="57"/>
      <c r="H25" s="27" t="s">
        <v>3</v>
      </c>
      <c r="I25" s="43">
        <f>SUM(I20:I24)</f>
        <v>100</v>
      </c>
      <c r="J25" s="32">
        <f>SUM(J20:J24)</f>
        <v>1111</v>
      </c>
      <c r="K25" s="43">
        <f>SUM(K20:K24)</f>
        <v>6</v>
      </c>
      <c r="L25" s="32">
        <f>SUM(L20:L24)</f>
        <v>307</v>
      </c>
      <c r="M25" s="44">
        <f>SUM(M20:M24)</f>
        <v>116</v>
      </c>
      <c r="N25" s="32"/>
    </row>
    <row r="26" spans="2:14" s="21" customFormat="1" ht="15.75">
      <c r="B26" s="37"/>
      <c r="C26" s="140"/>
      <c r="D26" s="37"/>
      <c r="E26" s="57"/>
      <c r="F26" s="57"/>
      <c r="I26" s="777">
        <f>I25+J25</f>
        <v>1211</v>
      </c>
      <c r="J26" s="778"/>
      <c r="K26" s="777">
        <f>K25+L25+M25</f>
        <v>429</v>
      </c>
      <c r="L26" s="779"/>
      <c r="M26" s="778"/>
      <c r="N26" s="31">
        <f>SUM(I26:M26)</f>
        <v>1640</v>
      </c>
    </row>
    <row r="27" spans="2:14" s="21" customFormat="1" ht="15.75">
      <c r="B27" s="37"/>
      <c r="C27" s="140"/>
      <c r="D27" s="37"/>
      <c r="E27" s="57"/>
      <c r="F27" s="57"/>
    </row>
    <row r="28" spans="2:14" s="21" customFormat="1" ht="15.75">
      <c r="B28" s="37"/>
      <c r="C28" s="140"/>
      <c r="D28" s="37"/>
      <c r="E28" s="57"/>
      <c r="F28" s="57"/>
    </row>
    <row r="29" spans="2:14" s="21" customFormat="1" ht="15.75">
      <c r="B29" s="37"/>
      <c r="C29" s="140"/>
      <c r="D29" s="37"/>
      <c r="E29" s="57"/>
      <c r="F29" s="57"/>
    </row>
    <row r="30" spans="2:14" s="21" customFormat="1" ht="15.75">
      <c r="B30" s="37"/>
      <c r="C30" s="140"/>
      <c r="D30" s="37"/>
      <c r="E30" s="57"/>
      <c r="F30" s="57"/>
    </row>
    <row r="31" spans="2:14" s="21" customFormat="1" ht="15.75">
      <c r="B31" s="37"/>
      <c r="C31" s="140"/>
      <c r="D31" s="37"/>
      <c r="E31" s="57"/>
      <c r="F31" s="57"/>
    </row>
    <row r="32" spans="2:14" ht="15.75">
      <c r="B32" s="141"/>
      <c r="C32" s="140"/>
      <c r="D32" s="141"/>
      <c r="E32" s="55"/>
      <c r="F32" s="55"/>
    </row>
    <row r="33" spans="2:8" ht="15.75">
      <c r="B33" s="141"/>
      <c r="C33" s="140"/>
      <c r="D33" s="141"/>
      <c r="E33" s="55"/>
      <c r="F33" s="55"/>
    </row>
    <row r="34" spans="2:8">
      <c r="B34" s="141"/>
      <c r="C34" s="141"/>
      <c r="D34" s="141"/>
      <c r="E34" s="55"/>
      <c r="F34" s="55"/>
    </row>
    <row r="35" spans="2:8" ht="15.75">
      <c r="B35" s="142"/>
      <c r="C35" s="142"/>
      <c r="D35" s="141"/>
      <c r="E35" s="55"/>
      <c r="F35" s="55"/>
      <c r="H35" s="139">
        <f>SUM(D35:G35)</f>
        <v>0</v>
      </c>
    </row>
    <row r="36" spans="2:8">
      <c r="B36" s="141"/>
      <c r="C36" s="141"/>
      <c r="D36" s="141"/>
      <c r="E36" s="55"/>
      <c r="F36" s="55"/>
    </row>
    <row r="37" spans="2:8">
      <c r="B37" s="141"/>
      <c r="C37" s="141"/>
      <c r="D37" s="141"/>
      <c r="E37" s="55"/>
      <c r="F37" s="55"/>
    </row>
    <row r="38" spans="2:8">
      <c r="B38" s="141"/>
      <c r="C38" s="141"/>
      <c r="D38" s="141"/>
      <c r="E38" s="55"/>
      <c r="F38" s="55"/>
    </row>
    <row r="39" spans="2:8">
      <c r="B39" s="141"/>
      <c r="C39" s="141"/>
      <c r="D39" s="141"/>
      <c r="E39" s="55"/>
      <c r="F39" s="55"/>
    </row>
    <row r="40" spans="2:8">
      <c r="B40" s="141"/>
      <c r="C40" s="141"/>
      <c r="D40" s="141"/>
      <c r="E40" s="55"/>
      <c r="F40" s="55"/>
    </row>
  </sheetData>
  <mergeCells count="7">
    <mergeCell ref="N18:N19"/>
    <mergeCell ref="I26:J26"/>
    <mergeCell ref="K26:M26"/>
    <mergeCell ref="A1:G1"/>
    <mergeCell ref="I18:J18"/>
    <mergeCell ref="K18:M18"/>
    <mergeCell ref="H18:H19"/>
  </mergeCells>
  <phoneticPr fontId="6" type="noConversion"/>
  <printOptions horizontalCentered="1"/>
  <pageMargins left="0.6" right="0.6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17"/>
  <sheetViews>
    <sheetView view="pageBreakPreview" zoomScaleSheetLayoutView="100" workbookViewId="0">
      <pane ySplit="4" topLeftCell="A161" activePane="bottomLeft" state="frozen"/>
      <selection pane="bottomLeft" activeCell="L135" sqref="L135"/>
    </sheetView>
  </sheetViews>
  <sheetFormatPr defaultRowHeight="21" customHeight="1"/>
  <cols>
    <col min="1" max="1" width="43" style="93" customWidth="1"/>
    <col min="2" max="3" width="7.42578125" style="93" hidden="1" customWidth="1"/>
    <col min="4" max="4" width="7.42578125" style="126" hidden="1" customWidth="1"/>
    <col min="5" max="8" width="7.42578125" style="112" hidden="1" customWidth="1"/>
    <col min="9" max="9" width="9.85546875" style="112" customWidth="1"/>
    <col min="10" max="10" width="12.42578125" style="112" customWidth="1"/>
    <col min="11" max="15" width="7.42578125" style="112" customWidth="1"/>
    <col min="16" max="25" width="7.42578125" style="93" customWidth="1"/>
    <col min="26" max="16384" width="9.140625" style="93"/>
  </cols>
  <sheetData>
    <row r="1" spans="1:25" ht="21" customHeight="1">
      <c r="A1" s="787" t="s">
        <v>402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</row>
    <row r="2" spans="1:25" ht="21" customHeight="1">
      <c r="A2" s="794"/>
      <c r="B2" s="794"/>
      <c r="C2" s="794"/>
      <c r="D2" s="794"/>
      <c r="E2" s="794"/>
      <c r="F2" s="794"/>
      <c r="G2" s="794"/>
      <c r="H2" s="794"/>
      <c r="I2" s="794"/>
      <c r="J2" s="741"/>
      <c r="K2" s="741"/>
      <c r="L2" s="741"/>
      <c r="M2" s="741"/>
      <c r="N2" s="741"/>
      <c r="O2" s="741"/>
    </row>
    <row r="3" spans="1:25" ht="21" customHeight="1">
      <c r="A3" s="788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854" t="s">
        <v>355</v>
      </c>
      <c r="J3" s="849" t="s">
        <v>363</v>
      </c>
      <c r="K3" s="853" t="s">
        <v>361</v>
      </c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</row>
    <row r="4" spans="1:25" ht="21" customHeight="1">
      <c r="A4" s="848"/>
      <c r="B4" s="655"/>
      <c r="C4" s="656"/>
      <c r="D4" s="657"/>
      <c r="E4" s="657"/>
      <c r="F4" s="657"/>
      <c r="G4" s="657"/>
      <c r="H4" s="657"/>
      <c r="I4" s="872"/>
      <c r="J4" s="850"/>
      <c r="K4" s="658" t="s">
        <v>356</v>
      </c>
      <c r="L4" s="658" t="s">
        <v>357</v>
      </c>
      <c r="M4" s="658" t="s">
        <v>358</v>
      </c>
      <c r="N4" s="658" t="s">
        <v>359</v>
      </c>
      <c r="O4" s="658" t="s">
        <v>360</v>
      </c>
      <c r="P4" s="747" t="s">
        <v>386</v>
      </c>
      <c r="Q4" s="747" t="s">
        <v>387</v>
      </c>
      <c r="R4" s="747" t="s">
        <v>388</v>
      </c>
      <c r="S4" s="747" t="s">
        <v>389</v>
      </c>
      <c r="T4" s="747" t="s">
        <v>390</v>
      </c>
      <c r="U4" s="747" t="s">
        <v>391</v>
      </c>
      <c r="V4" s="747" t="s">
        <v>392</v>
      </c>
      <c r="W4" s="747" t="s">
        <v>393</v>
      </c>
      <c r="X4" s="747" t="s">
        <v>394</v>
      </c>
      <c r="Y4" s="747" t="s">
        <v>395</v>
      </c>
    </row>
    <row r="5" spans="1:25" ht="21" customHeight="1">
      <c r="A5" s="505" t="s">
        <v>5</v>
      </c>
      <c r="B5" s="742">
        <f t="shared" ref="B5:H5" si="0">SUM(B25,B28,B36)</f>
        <v>321</v>
      </c>
      <c r="C5" s="742">
        <f t="shared" si="0"/>
        <v>515</v>
      </c>
      <c r="D5" s="742">
        <f t="shared" si="0"/>
        <v>539</v>
      </c>
      <c r="E5" s="742">
        <f t="shared" si="0"/>
        <v>623</v>
      </c>
      <c r="F5" s="742">
        <f t="shared" si="0"/>
        <v>519</v>
      </c>
      <c r="G5" s="742">
        <f t="shared" si="0"/>
        <v>2</v>
      </c>
      <c r="H5" s="742">
        <f t="shared" si="0"/>
        <v>0</v>
      </c>
      <c r="I5" s="742">
        <f>SUM(I25,I28,I36)</f>
        <v>0</v>
      </c>
      <c r="J5" s="742">
        <f>SUM(J25,J28,J36)</f>
        <v>0</v>
      </c>
      <c r="K5" s="742">
        <f t="shared" ref="K5:Y5" si="1">SUM(K25,K28,K36)</f>
        <v>0</v>
      </c>
      <c r="L5" s="742">
        <f t="shared" si="1"/>
        <v>0</v>
      </c>
      <c r="M5" s="742">
        <f t="shared" si="1"/>
        <v>0</v>
      </c>
      <c r="N5" s="742">
        <f t="shared" si="1"/>
        <v>0</v>
      </c>
      <c r="O5" s="742">
        <f t="shared" si="1"/>
        <v>0</v>
      </c>
      <c r="P5" s="742">
        <f t="shared" si="1"/>
        <v>0</v>
      </c>
      <c r="Q5" s="742">
        <f t="shared" si="1"/>
        <v>0</v>
      </c>
      <c r="R5" s="742">
        <f t="shared" si="1"/>
        <v>0</v>
      </c>
      <c r="S5" s="742">
        <f t="shared" si="1"/>
        <v>0</v>
      </c>
      <c r="T5" s="742">
        <f t="shared" si="1"/>
        <v>0</v>
      </c>
      <c r="U5" s="742">
        <f t="shared" si="1"/>
        <v>0</v>
      </c>
      <c r="V5" s="742">
        <f t="shared" si="1"/>
        <v>0</v>
      </c>
      <c r="W5" s="742">
        <f t="shared" si="1"/>
        <v>0</v>
      </c>
      <c r="X5" s="742">
        <f t="shared" si="1"/>
        <v>0</v>
      </c>
      <c r="Y5" s="742">
        <f t="shared" si="1"/>
        <v>0</v>
      </c>
    </row>
    <row r="6" spans="1:25" ht="21" customHeight="1">
      <c r="A6" s="659" t="s">
        <v>136</v>
      </c>
      <c r="B6" s="659">
        <v>27</v>
      </c>
      <c r="C6" s="660">
        <v>39</v>
      </c>
      <c r="D6" s="661">
        <v>52</v>
      </c>
      <c r="E6" s="662">
        <v>55</v>
      </c>
      <c r="F6" s="662">
        <v>54</v>
      </c>
      <c r="G6" s="662"/>
      <c r="H6" s="663"/>
      <c r="I6" s="662"/>
      <c r="J6" s="662"/>
      <c r="K6" s="662"/>
      <c r="L6" s="662"/>
      <c r="M6" s="662"/>
      <c r="N6" s="662"/>
      <c r="O6" s="748"/>
      <c r="P6" s="735"/>
      <c r="Q6" s="735"/>
      <c r="R6" s="735"/>
      <c r="S6" s="735"/>
      <c r="T6" s="735"/>
      <c r="U6" s="735"/>
      <c r="V6" s="735"/>
      <c r="W6" s="735"/>
      <c r="X6" s="735"/>
      <c r="Y6" s="735"/>
    </row>
    <row r="7" spans="1:25" ht="21" customHeight="1">
      <c r="A7" s="250" t="s">
        <v>6</v>
      </c>
      <c r="B7" s="250">
        <v>35</v>
      </c>
      <c r="C7" s="368">
        <v>45</v>
      </c>
      <c r="D7" s="251">
        <v>52</v>
      </c>
      <c r="E7" s="252">
        <v>48</v>
      </c>
      <c r="F7" s="252">
        <v>51</v>
      </c>
      <c r="G7" s="252"/>
      <c r="H7" s="594"/>
      <c r="I7" s="252"/>
      <c r="J7" s="252"/>
      <c r="K7" s="252"/>
      <c r="L7" s="252"/>
      <c r="M7" s="252"/>
      <c r="N7" s="252"/>
      <c r="O7" s="749"/>
      <c r="P7" s="691"/>
      <c r="Q7" s="691"/>
      <c r="R7" s="691"/>
      <c r="S7" s="691"/>
      <c r="T7" s="691"/>
      <c r="U7" s="691"/>
      <c r="V7" s="691"/>
      <c r="W7" s="691"/>
      <c r="X7" s="691"/>
      <c r="Y7" s="691"/>
    </row>
    <row r="8" spans="1:25" ht="21" customHeight="1">
      <c r="A8" s="250" t="s">
        <v>7</v>
      </c>
      <c r="B8" s="250">
        <v>34</v>
      </c>
      <c r="C8" s="368">
        <v>49</v>
      </c>
      <c r="D8" s="251">
        <v>55</v>
      </c>
      <c r="E8" s="252">
        <v>59</v>
      </c>
      <c r="F8" s="252">
        <v>51</v>
      </c>
      <c r="G8" s="252"/>
      <c r="H8" s="594"/>
      <c r="I8" s="252"/>
      <c r="J8" s="252"/>
      <c r="K8" s="252"/>
      <c r="L8" s="252"/>
      <c r="M8" s="252"/>
      <c r="N8" s="252"/>
      <c r="O8" s="749"/>
      <c r="P8" s="691"/>
      <c r="Q8" s="691"/>
      <c r="R8" s="691"/>
      <c r="S8" s="691"/>
      <c r="T8" s="691"/>
      <c r="U8" s="691"/>
      <c r="V8" s="691"/>
      <c r="W8" s="691"/>
      <c r="X8" s="691"/>
      <c r="Y8" s="691"/>
    </row>
    <row r="9" spans="1:25" ht="21" customHeight="1">
      <c r="A9" s="250" t="s">
        <v>135</v>
      </c>
      <c r="B9" s="250">
        <v>34</v>
      </c>
      <c r="C9" s="368">
        <v>43</v>
      </c>
      <c r="D9" s="251">
        <v>54</v>
      </c>
      <c r="E9" s="252">
        <v>49</v>
      </c>
      <c r="F9" s="252">
        <v>38</v>
      </c>
      <c r="G9" s="252"/>
      <c r="H9" s="594"/>
      <c r="I9" s="252"/>
      <c r="J9" s="252"/>
      <c r="K9" s="252"/>
      <c r="L9" s="252"/>
      <c r="M9" s="252"/>
      <c r="N9" s="252"/>
      <c r="O9" s="749"/>
      <c r="P9" s="691"/>
      <c r="Q9" s="691"/>
      <c r="R9" s="691"/>
      <c r="S9" s="691"/>
      <c r="T9" s="691"/>
      <c r="U9" s="691"/>
      <c r="V9" s="691"/>
      <c r="W9" s="691"/>
      <c r="X9" s="691"/>
      <c r="Y9" s="691"/>
    </row>
    <row r="10" spans="1:25" ht="21" customHeight="1">
      <c r="A10" s="250" t="s">
        <v>8</v>
      </c>
      <c r="B10" s="250">
        <v>36</v>
      </c>
      <c r="C10" s="368">
        <v>45</v>
      </c>
      <c r="D10" s="251">
        <v>51</v>
      </c>
      <c r="E10" s="252">
        <v>53</v>
      </c>
      <c r="F10" s="252">
        <v>46</v>
      </c>
      <c r="G10" s="252"/>
      <c r="H10" s="594"/>
      <c r="I10" s="252"/>
      <c r="J10" s="252"/>
      <c r="K10" s="252"/>
      <c r="L10" s="252"/>
      <c r="M10" s="252"/>
      <c r="N10" s="252"/>
      <c r="O10" s="749"/>
      <c r="P10" s="691"/>
      <c r="Q10" s="691"/>
      <c r="R10" s="691"/>
      <c r="S10" s="691"/>
      <c r="T10" s="691"/>
      <c r="U10" s="691"/>
      <c r="V10" s="691"/>
      <c r="W10" s="691"/>
      <c r="X10" s="691"/>
      <c r="Y10" s="691"/>
    </row>
    <row r="11" spans="1:25" ht="21" customHeight="1">
      <c r="A11" s="250" t="s">
        <v>9</v>
      </c>
      <c r="B11" s="250">
        <v>31</v>
      </c>
      <c r="C11" s="368">
        <v>44</v>
      </c>
      <c r="D11" s="251">
        <v>42</v>
      </c>
      <c r="E11" s="252">
        <v>42</v>
      </c>
      <c r="F11" s="252">
        <v>40</v>
      </c>
      <c r="G11" s="252"/>
      <c r="H11" s="594"/>
      <c r="I11" s="252"/>
      <c r="J11" s="252"/>
      <c r="K11" s="252"/>
      <c r="L11" s="252"/>
      <c r="M11" s="252"/>
      <c r="N11" s="252"/>
      <c r="O11" s="749"/>
      <c r="P11" s="691"/>
      <c r="Q11" s="691"/>
      <c r="R11" s="691"/>
      <c r="S11" s="691"/>
      <c r="T11" s="691"/>
      <c r="U11" s="691"/>
      <c r="V11" s="691"/>
      <c r="W11" s="691"/>
      <c r="X11" s="691"/>
      <c r="Y11" s="691"/>
    </row>
    <row r="12" spans="1:25" ht="21" customHeight="1">
      <c r="A12" s="250" t="s">
        <v>238</v>
      </c>
      <c r="B12" s="250">
        <v>30</v>
      </c>
      <c r="C12" s="649">
        <v>38</v>
      </c>
      <c r="D12" s="650">
        <v>45</v>
      </c>
      <c r="E12" s="651">
        <v>43</v>
      </c>
      <c r="F12" s="252">
        <v>52</v>
      </c>
      <c r="G12" s="252"/>
      <c r="H12" s="594"/>
      <c r="I12" s="252"/>
      <c r="J12" s="252"/>
      <c r="K12" s="252"/>
      <c r="L12" s="252"/>
      <c r="M12" s="252"/>
      <c r="N12" s="252"/>
      <c r="O12" s="749"/>
      <c r="P12" s="691"/>
      <c r="Q12" s="691"/>
      <c r="R12" s="691"/>
      <c r="S12" s="691"/>
      <c r="T12" s="691"/>
      <c r="U12" s="691"/>
      <c r="V12" s="691"/>
      <c r="W12" s="691"/>
      <c r="X12" s="691"/>
      <c r="Y12" s="691"/>
    </row>
    <row r="13" spans="1:25" ht="21" customHeight="1">
      <c r="A13" s="250" t="s">
        <v>56</v>
      </c>
      <c r="B13" s="250">
        <v>30</v>
      </c>
      <c r="C13" s="368">
        <v>37</v>
      </c>
      <c r="D13" s="251">
        <v>47</v>
      </c>
      <c r="E13" s="252">
        <v>47</v>
      </c>
      <c r="F13" s="252">
        <v>41</v>
      </c>
      <c r="G13" s="252"/>
      <c r="H13" s="594"/>
      <c r="I13" s="252"/>
      <c r="J13" s="252"/>
      <c r="K13" s="252"/>
      <c r="L13" s="252"/>
      <c r="M13" s="252"/>
      <c r="N13" s="252"/>
      <c r="O13" s="749"/>
      <c r="P13" s="691"/>
      <c r="Q13" s="691"/>
      <c r="R13" s="691"/>
      <c r="S13" s="691"/>
      <c r="T13" s="691"/>
      <c r="U13" s="691"/>
      <c r="V13" s="691"/>
      <c r="W13" s="691"/>
      <c r="X13" s="691"/>
      <c r="Y13" s="691"/>
    </row>
    <row r="14" spans="1:25" ht="21" customHeight="1">
      <c r="A14" s="250" t="s">
        <v>96</v>
      </c>
      <c r="B14" s="250">
        <v>33</v>
      </c>
      <c r="C14" s="368">
        <v>43</v>
      </c>
      <c r="D14" s="251">
        <v>50</v>
      </c>
      <c r="E14" s="252">
        <v>41</v>
      </c>
      <c r="F14" s="252">
        <v>39</v>
      </c>
      <c r="G14" s="252"/>
      <c r="H14" s="594"/>
      <c r="I14" s="252"/>
      <c r="J14" s="252"/>
      <c r="K14" s="252"/>
      <c r="L14" s="252"/>
      <c r="M14" s="252"/>
      <c r="N14" s="252"/>
      <c r="O14" s="749"/>
      <c r="P14" s="691"/>
      <c r="Q14" s="691"/>
      <c r="R14" s="691"/>
      <c r="S14" s="691"/>
      <c r="T14" s="691"/>
      <c r="U14" s="691"/>
      <c r="V14" s="691"/>
      <c r="W14" s="691"/>
      <c r="X14" s="691"/>
      <c r="Y14" s="691"/>
    </row>
    <row r="15" spans="1:25" ht="21" customHeight="1">
      <c r="A15" s="250" t="s">
        <v>119</v>
      </c>
      <c r="B15" s="250"/>
      <c r="C15" s="368">
        <v>50</v>
      </c>
      <c r="D15" s="251">
        <v>44</v>
      </c>
      <c r="E15" s="252">
        <v>39</v>
      </c>
      <c r="F15" s="252">
        <v>42</v>
      </c>
      <c r="G15" s="252"/>
      <c r="H15" s="594"/>
      <c r="I15" s="252"/>
      <c r="J15" s="252"/>
      <c r="K15" s="252"/>
      <c r="L15" s="252"/>
      <c r="M15" s="252"/>
      <c r="N15" s="252"/>
      <c r="O15" s="749"/>
      <c r="P15" s="691"/>
      <c r="Q15" s="691"/>
      <c r="R15" s="691"/>
      <c r="S15" s="691"/>
      <c r="T15" s="691"/>
      <c r="U15" s="691"/>
      <c r="V15" s="691"/>
      <c r="W15" s="691"/>
      <c r="X15" s="691"/>
      <c r="Y15" s="691"/>
    </row>
    <row r="16" spans="1:25" ht="21" customHeight="1">
      <c r="A16" s="250" t="s">
        <v>12</v>
      </c>
      <c r="B16" s="250"/>
      <c r="C16" s="368"/>
      <c r="D16" s="251"/>
      <c r="E16" s="252">
        <v>26</v>
      </c>
      <c r="F16" s="252"/>
      <c r="G16" s="252"/>
      <c r="H16" s="594"/>
      <c r="I16" s="252"/>
      <c r="J16" s="252"/>
      <c r="K16" s="252"/>
      <c r="L16" s="252"/>
      <c r="M16" s="252"/>
      <c r="N16" s="252"/>
      <c r="O16" s="749"/>
      <c r="P16" s="691"/>
      <c r="Q16" s="691"/>
      <c r="R16" s="691"/>
      <c r="S16" s="691"/>
      <c r="T16" s="691"/>
      <c r="U16" s="691"/>
      <c r="V16" s="691"/>
      <c r="W16" s="691"/>
      <c r="X16" s="691"/>
      <c r="Y16" s="691"/>
    </row>
    <row r="17" spans="1:25" ht="21" customHeight="1">
      <c r="A17" s="250" t="s">
        <v>13</v>
      </c>
      <c r="B17" s="250"/>
      <c r="C17" s="368"/>
      <c r="D17" s="251"/>
      <c r="E17" s="252">
        <v>39</v>
      </c>
      <c r="F17" s="252"/>
      <c r="G17" s="252"/>
      <c r="H17" s="594"/>
      <c r="I17" s="252"/>
      <c r="J17" s="252"/>
      <c r="K17" s="252"/>
      <c r="L17" s="252"/>
      <c r="M17" s="252"/>
      <c r="N17" s="252"/>
      <c r="O17" s="749"/>
      <c r="P17" s="691"/>
      <c r="Q17" s="691"/>
      <c r="R17" s="691"/>
      <c r="S17" s="691"/>
      <c r="T17" s="691"/>
      <c r="U17" s="691"/>
      <c r="V17" s="691"/>
      <c r="W17" s="691"/>
      <c r="X17" s="691"/>
      <c r="Y17" s="691"/>
    </row>
    <row r="18" spans="1:25" ht="21" customHeight="1">
      <c r="A18" s="250" t="s">
        <v>165</v>
      </c>
      <c r="B18" s="250"/>
      <c r="C18" s="368">
        <v>40</v>
      </c>
      <c r="D18" s="251">
        <v>42</v>
      </c>
      <c r="E18" s="252">
        <v>42</v>
      </c>
      <c r="F18" s="252">
        <v>31</v>
      </c>
      <c r="G18" s="252"/>
      <c r="H18" s="594"/>
      <c r="I18" s="252"/>
      <c r="J18" s="252"/>
      <c r="K18" s="252"/>
      <c r="L18" s="252"/>
      <c r="M18" s="252"/>
      <c r="N18" s="252"/>
      <c r="O18" s="749"/>
      <c r="P18" s="691"/>
      <c r="Q18" s="691"/>
      <c r="R18" s="691"/>
      <c r="S18" s="691"/>
      <c r="T18" s="691"/>
      <c r="U18" s="691"/>
      <c r="V18" s="691"/>
      <c r="W18" s="691"/>
      <c r="X18" s="691"/>
      <c r="Y18" s="691"/>
    </row>
    <row r="19" spans="1:25" ht="21" customHeight="1">
      <c r="A19" s="307" t="s">
        <v>164</v>
      </c>
      <c r="B19" s="307">
        <v>26</v>
      </c>
      <c r="C19" s="728">
        <v>42</v>
      </c>
      <c r="D19" s="757"/>
      <c r="E19" s="716">
        <v>40</v>
      </c>
      <c r="F19" s="716">
        <v>31</v>
      </c>
      <c r="G19" s="716"/>
      <c r="H19" s="758"/>
      <c r="I19" s="716"/>
      <c r="J19" s="716"/>
      <c r="K19" s="716"/>
      <c r="L19" s="716"/>
      <c r="M19" s="716"/>
      <c r="N19" s="716"/>
      <c r="O19" s="716"/>
      <c r="P19" s="693"/>
      <c r="Q19" s="693"/>
      <c r="R19" s="693"/>
      <c r="S19" s="693"/>
      <c r="T19" s="693"/>
      <c r="U19" s="693"/>
      <c r="V19" s="693"/>
      <c r="W19" s="693"/>
      <c r="X19" s="693"/>
      <c r="Y19" s="693"/>
    </row>
    <row r="20" spans="1:25" ht="21" customHeight="1">
      <c r="A20" s="681" t="s">
        <v>396</v>
      </c>
      <c r="B20" s="250"/>
      <c r="C20" s="368"/>
      <c r="D20" s="251"/>
      <c r="E20" s="252"/>
      <c r="F20" s="252"/>
      <c r="G20" s="252"/>
      <c r="H20" s="594"/>
      <c r="I20" s="252"/>
      <c r="J20" s="252"/>
      <c r="K20" s="252"/>
      <c r="L20" s="252"/>
      <c r="M20" s="252"/>
      <c r="N20" s="252"/>
      <c r="O20" s="252"/>
      <c r="P20" s="691"/>
      <c r="Q20" s="691"/>
      <c r="R20" s="691"/>
      <c r="S20" s="691"/>
      <c r="T20" s="691"/>
      <c r="U20" s="691"/>
      <c r="V20" s="691"/>
      <c r="W20" s="691"/>
      <c r="X20" s="691"/>
      <c r="Y20" s="691"/>
    </row>
    <row r="21" spans="1:25" ht="21" customHeight="1">
      <c r="A21" s="250"/>
      <c r="B21" s="250"/>
      <c r="C21" s="368"/>
      <c r="D21" s="251"/>
      <c r="E21" s="252"/>
      <c r="F21" s="252"/>
      <c r="G21" s="252"/>
      <c r="H21" s="594"/>
      <c r="I21" s="252"/>
      <c r="J21" s="252"/>
      <c r="K21" s="252"/>
      <c r="L21" s="252"/>
      <c r="M21" s="252"/>
      <c r="N21" s="252"/>
      <c r="O21" s="252"/>
      <c r="P21" s="691"/>
      <c r="Q21" s="691"/>
      <c r="R21" s="691"/>
      <c r="S21" s="691"/>
      <c r="T21" s="691"/>
      <c r="U21" s="691"/>
      <c r="V21" s="691"/>
      <c r="W21" s="691"/>
      <c r="X21" s="691"/>
      <c r="Y21" s="691"/>
    </row>
    <row r="22" spans="1:25" ht="21" customHeight="1">
      <c r="A22" s="96"/>
      <c r="B22" s="96"/>
      <c r="C22" s="376"/>
      <c r="D22" s="122"/>
      <c r="E22" s="107"/>
      <c r="F22" s="107"/>
      <c r="G22" s="107"/>
      <c r="H22" s="755"/>
      <c r="I22" s="107"/>
      <c r="J22" s="107"/>
      <c r="K22" s="107"/>
      <c r="L22" s="107"/>
      <c r="M22" s="107"/>
      <c r="N22" s="107"/>
      <c r="O22" s="107"/>
      <c r="P22" s="692"/>
      <c r="Q22" s="692"/>
      <c r="R22" s="692"/>
      <c r="S22" s="692"/>
      <c r="T22" s="692"/>
      <c r="U22" s="692"/>
      <c r="V22" s="692"/>
      <c r="W22" s="692"/>
      <c r="X22" s="692"/>
      <c r="Y22" s="692"/>
    </row>
    <row r="23" spans="1:25" ht="21" customHeight="1">
      <c r="A23" s="250"/>
      <c r="B23" s="250"/>
      <c r="C23" s="368"/>
      <c r="D23" s="251"/>
      <c r="E23" s="252"/>
      <c r="F23" s="252"/>
      <c r="G23" s="252"/>
      <c r="H23" s="594"/>
      <c r="I23" s="252"/>
      <c r="J23" s="252"/>
      <c r="K23" s="252"/>
      <c r="L23" s="252"/>
      <c r="M23" s="252"/>
      <c r="N23" s="252"/>
      <c r="O23" s="252"/>
      <c r="P23" s="691"/>
      <c r="Q23" s="691"/>
      <c r="R23" s="691"/>
      <c r="S23" s="691"/>
      <c r="T23" s="691"/>
      <c r="U23" s="691"/>
      <c r="V23" s="691"/>
      <c r="W23" s="691"/>
      <c r="X23" s="691"/>
      <c r="Y23" s="691"/>
    </row>
    <row r="24" spans="1:25" ht="21" customHeight="1">
      <c r="A24" s="665"/>
      <c r="B24" s="665"/>
      <c r="C24" s="666"/>
      <c r="D24" s="667"/>
      <c r="E24" s="668"/>
      <c r="F24" s="668"/>
      <c r="G24" s="668"/>
      <c r="H24" s="669"/>
      <c r="I24" s="668"/>
      <c r="J24" s="668"/>
      <c r="K24" s="668"/>
      <c r="L24" s="668"/>
      <c r="M24" s="668"/>
      <c r="N24" s="668"/>
      <c r="O24" s="668"/>
      <c r="P24" s="754"/>
      <c r="Q24" s="754"/>
      <c r="R24" s="754"/>
      <c r="S24" s="754"/>
      <c r="T24" s="754"/>
      <c r="U24" s="754"/>
      <c r="V24" s="754"/>
      <c r="W24" s="754"/>
      <c r="X24" s="754"/>
      <c r="Y24" s="754"/>
    </row>
    <row r="25" spans="1:25" ht="21" customHeight="1">
      <c r="A25" s="414" t="s">
        <v>3</v>
      </c>
      <c r="B25" s="719">
        <f t="shared" ref="B25:O25" si="2">SUM(B6:B19)</f>
        <v>316</v>
      </c>
      <c r="C25" s="719">
        <f t="shared" si="2"/>
        <v>515</v>
      </c>
      <c r="D25" s="719">
        <f t="shared" si="2"/>
        <v>534</v>
      </c>
      <c r="E25" s="719">
        <f t="shared" si="2"/>
        <v>623</v>
      </c>
      <c r="F25" s="719">
        <f t="shared" si="2"/>
        <v>516</v>
      </c>
      <c r="G25" s="719">
        <f t="shared" si="2"/>
        <v>0</v>
      </c>
      <c r="H25" s="719">
        <f t="shared" si="2"/>
        <v>0</v>
      </c>
      <c r="I25" s="719">
        <f t="shared" si="2"/>
        <v>0</v>
      </c>
      <c r="J25" s="719">
        <f t="shared" si="2"/>
        <v>0</v>
      </c>
      <c r="K25" s="719">
        <f t="shared" si="2"/>
        <v>0</v>
      </c>
      <c r="L25" s="719">
        <f t="shared" si="2"/>
        <v>0</v>
      </c>
      <c r="M25" s="719">
        <f t="shared" si="2"/>
        <v>0</v>
      </c>
      <c r="N25" s="719">
        <f t="shared" si="2"/>
        <v>0</v>
      </c>
      <c r="O25" s="719">
        <f t="shared" si="2"/>
        <v>0</v>
      </c>
      <c r="P25" s="719">
        <f t="shared" ref="P25:Y25" si="3">SUM(P6:P19)</f>
        <v>0</v>
      </c>
      <c r="Q25" s="719">
        <f t="shared" si="3"/>
        <v>0</v>
      </c>
      <c r="R25" s="719">
        <f t="shared" si="3"/>
        <v>0</v>
      </c>
      <c r="S25" s="719">
        <f t="shared" si="3"/>
        <v>0</v>
      </c>
      <c r="T25" s="719">
        <f t="shared" si="3"/>
        <v>0</v>
      </c>
      <c r="U25" s="719">
        <f t="shared" si="3"/>
        <v>0</v>
      </c>
      <c r="V25" s="719">
        <f t="shared" si="3"/>
        <v>0</v>
      </c>
      <c r="W25" s="719">
        <f t="shared" si="3"/>
        <v>0</v>
      </c>
      <c r="X25" s="719">
        <f t="shared" si="3"/>
        <v>0</v>
      </c>
      <c r="Y25" s="719">
        <f t="shared" si="3"/>
        <v>0</v>
      </c>
    </row>
    <row r="26" spans="1:25" ht="21" hidden="1" customHeight="1">
      <c r="A26" s="299" t="s">
        <v>48</v>
      </c>
      <c r="B26" s="299"/>
      <c r="C26" s="299"/>
      <c r="D26" s="253"/>
      <c r="E26" s="254"/>
      <c r="F26" s="254"/>
      <c r="G26" s="254"/>
      <c r="H26" s="254"/>
      <c r="I26" s="254"/>
      <c r="J26" s="159"/>
      <c r="K26" s="159"/>
      <c r="L26" s="159"/>
      <c r="M26" s="159"/>
      <c r="N26" s="159"/>
      <c r="O26" s="159"/>
      <c r="P26" s="693"/>
      <c r="Q26" s="693"/>
      <c r="R26" s="693"/>
      <c r="S26" s="693"/>
      <c r="T26" s="693"/>
      <c r="U26" s="693"/>
      <c r="V26" s="693"/>
      <c r="W26" s="693"/>
      <c r="X26" s="693"/>
      <c r="Y26" s="693"/>
    </row>
    <row r="27" spans="1:25" ht="21" hidden="1" customHeight="1">
      <c r="A27" s="96" t="s">
        <v>71</v>
      </c>
      <c r="B27" s="96"/>
      <c r="C27" s="96"/>
      <c r="D27" s="122"/>
      <c r="E27" s="107"/>
      <c r="F27" s="107"/>
      <c r="G27" s="107"/>
      <c r="H27" s="107"/>
      <c r="I27" s="107"/>
      <c r="J27" s="159"/>
      <c r="K27" s="159"/>
      <c r="L27" s="159"/>
      <c r="M27" s="159"/>
      <c r="N27" s="159"/>
      <c r="O27" s="159"/>
      <c r="P27" s="691"/>
      <c r="Q27" s="691"/>
      <c r="R27" s="691"/>
      <c r="S27" s="691"/>
      <c r="T27" s="691"/>
      <c r="U27" s="691"/>
      <c r="V27" s="691"/>
      <c r="W27" s="691"/>
      <c r="X27" s="691"/>
      <c r="Y27" s="691"/>
    </row>
    <row r="28" spans="1:25" ht="21" hidden="1" customHeight="1">
      <c r="A28" s="671" t="s">
        <v>3</v>
      </c>
      <c r="B28" s="671"/>
      <c r="C28" s="671"/>
      <c r="D28" s="672"/>
      <c r="E28" s="673">
        <f>SUM(E27)</f>
        <v>0</v>
      </c>
      <c r="F28" s="673">
        <f>SUM(F27)</f>
        <v>0</v>
      </c>
      <c r="G28" s="673">
        <f>SUM(G27)</f>
        <v>0</v>
      </c>
      <c r="H28" s="673">
        <f>SUM(H27)</f>
        <v>0</v>
      </c>
      <c r="I28" s="673">
        <f>SUM(I27)</f>
        <v>0</v>
      </c>
      <c r="J28" s="160"/>
      <c r="K28" s="160"/>
      <c r="L28" s="160"/>
      <c r="M28" s="160"/>
      <c r="N28" s="160"/>
      <c r="O28" s="160"/>
      <c r="P28" s="692"/>
      <c r="Q28" s="692"/>
      <c r="R28" s="692"/>
      <c r="S28" s="692"/>
      <c r="T28" s="692"/>
      <c r="U28" s="692"/>
      <c r="V28" s="692"/>
      <c r="W28" s="692"/>
      <c r="X28" s="692"/>
      <c r="Y28" s="692"/>
    </row>
    <row r="29" spans="1:25" ht="21" customHeight="1">
      <c r="A29" s="674" t="s">
        <v>49</v>
      </c>
      <c r="B29" s="674"/>
      <c r="C29" s="674"/>
      <c r="D29" s="710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377"/>
      <c r="Q29" s="377"/>
      <c r="R29" s="377"/>
      <c r="S29" s="377"/>
      <c r="T29" s="377"/>
      <c r="U29" s="377"/>
      <c r="V29" s="377"/>
      <c r="W29" s="377"/>
      <c r="X29" s="377"/>
      <c r="Y29" s="377"/>
    </row>
    <row r="30" spans="1:25" ht="21" customHeight="1">
      <c r="A30" s="659" t="s">
        <v>82</v>
      </c>
      <c r="B30" s="659"/>
      <c r="C30" s="659"/>
      <c r="D30" s="661"/>
      <c r="E30" s="662"/>
      <c r="F30" s="662"/>
      <c r="G30" s="662">
        <v>2</v>
      </c>
      <c r="H30" s="662"/>
      <c r="I30" s="662"/>
      <c r="J30" s="662"/>
      <c r="K30" s="662">
        <v>0</v>
      </c>
      <c r="L30" s="662">
        <v>0</v>
      </c>
      <c r="M30" s="662">
        <v>0</v>
      </c>
      <c r="N30" s="662">
        <v>0</v>
      </c>
      <c r="O30" s="662">
        <v>0</v>
      </c>
      <c r="P30" s="735"/>
      <c r="Q30" s="735"/>
      <c r="R30" s="735"/>
      <c r="S30" s="735"/>
      <c r="T30" s="735"/>
      <c r="U30" s="735"/>
      <c r="V30" s="735"/>
      <c r="W30" s="735"/>
      <c r="X30" s="735"/>
      <c r="Y30" s="735"/>
    </row>
    <row r="31" spans="1:25" ht="21" customHeight="1">
      <c r="A31" s="250" t="s">
        <v>282</v>
      </c>
      <c r="B31" s="250">
        <v>5</v>
      </c>
      <c r="C31" s="250"/>
      <c r="D31" s="251">
        <v>5</v>
      </c>
      <c r="E31" s="252"/>
      <c r="F31" s="252"/>
      <c r="G31" s="252"/>
      <c r="H31" s="252"/>
      <c r="I31" s="252"/>
      <c r="J31" s="252"/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691"/>
      <c r="Q31" s="691"/>
      <c r="R31" s="691"/>
      <c r="S31" s="691"/>
      <c r="T31" s="691"/>
      <c r="U31" s="691"/>
      <c r="V31" s="691"/>
      <c r="W31" s="691"/>
      <c r="X31" s="691"/>
      <c r="Y31" s="691"/>
    </row>
    <row r="32" spans="1:25" ht="21" customHeight="1">
      <c r="A32" s="250" t="s">
        <v>97</v>
      </c>
      <c r="B32" s="250"/>
      <c r="C32" s="250"/>
      <c r="D32" s="251"/>
      <c r="E32" s="252"/>
      <c r="F32" s="252">
        <v>3</v>
      </c>
      <c r="G32" s="252"/>
      <c r="H32" s="252"/>
      <c r="I32" s="252"/>
      <c r="J32" s="252"/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691"/>
      <c r="Q32" s="691"/>
      <c r="R32" s="691"/>
      <c r="S32" s="691"/>
      <c r="T32" s="691"/>
      <c r="U32" s="691"/>
      <c r="V32" s="691"/>
      <c r="W32" s="691"/>
      <c r="X32" s="691"/>
      <c r="Y32" s="691"/>
    </row>
    <row r="33" spans="1:25" ht="21" customHeight="1">
      <c r="A33" s="250" t="s">
        <v>98</v>
      </c>
      <c r="B33" s="250"/>
      <c r="C33" s="250"/>
      <c r="D33" s="251"/>
      <c r="E33" s="252"/>
      <c r="F33" s="252"/>
      <c r="G33" s="252"/>
      <c r="H33" s="252"/>
      <c r="I33" s="252">
        <f>SUM(B33:H33)</f>
        <v>0</v>
      </c>
      <c r="J33" s="252">
        <f>B33</f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691"/>
      <c r="Q33" s="691"/>
      <c r="R33" s="691"/>
      <c r="S33" s="691"/>
      <c r="T33" s="691"/>
      <c r="U33" s="691"/>
      <c r="V33" s="691"/>
      <c r="W33" s="691"/>
      <c r="X33" s="691"/>
      <c r="Y33" s="691"/>
    </row>
    <row r="34" spans="1:25" ht="21" customHeight="1">
      <c r="A34" s="250"/>
      <c r="B34" s="250"/>
      <c r="C34" s="250"/>
      <c r="D34" s="251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691"/>
      <c r="Q34" s="691"/>
      <c r="R34" s="691"/>
      <c r="S34" s="691"/>
      <c r="T34" s="691"/>
      <c r="U34" s="691"/>
      <c r="V34" s="691"/>
      <c r="W34" s="691"/>
      <c r="X34" s="691"/>
      <c r="Y34" s="691"/>
    </row>
    <row r="35" spans="1:25" ht="21" customHeight="1">
      <c r="A35" s="665"/>
      <c r="B35" s="665"/>
      <c r="C35" s="665"/>
      <c r="D35" s="667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754"/>
      <c r="Q35" s="754"/>
      <c r="R35" s="754"/>
      <c r="S35" s="754"/>
      <c r="T35" s="754"/>
      <c r="U35" s="754"/>
      <c r="V35" s="754"/>
      <c r="W35" s="754"/>
      <c r="X35" s="754"/>
      <c r="Y35" s="754"/>
    </row>
    <row r="36" spans="1:25" ht="21" customHeight="1">
      <c r="A36" s="95" t="s">
        <v>3</v>
      </c>
      <c r="B36" s="106">
        <f t="shared" ref="B36:H36" si="4">SUM(B30:B33)</f>
        <v>5</v>
      </c>
      <c r="C36" s="106">
        <f t="shared" si="4"/>
        <v>0</v>
      </c>
      <c r="D36" s="106">
        <f t="shared" si="4"/>
        <v>5</v>
      </c>
      <c r="E36" s="106">
        <f t="shared" si="4"/>
        <v>0</v>
      </c>
      <c r="F36" s="106">
        <f t="shared" si="4"/>
        <v>3</v>
      </c>
      <c r="G36" s="106">
        <f t="shared" si="4"/>
        <v>2</v>
      </c>
      <c r="H36" s="106">
        <f t="shared" si="4"/>
        <v>0</v>
      </c>
      <c r="I36" s="106">
        <f>SUM(I30:I33)</f>
        <v>0</v>
      </c>
      <c r="J36" s="106">
        <f>SUM(J30:J33)</f>
        <v>0</v>
      </c>
      <c r="K36" s="106">
        <f t="shared" ref="K36:Y36" si="5">SUM(K30:K33)</f>
        <v>0</v>
      </c>
      <c r="L36" s="106">
        <f t="shared" si="5"/>
        <v>0</v>
      </c>
      <c r="M36" s="106">
        <f t="shared" si="5"/>
        <v>0</v>
      </c>
      <c r="N36" s="106">
        <f t="shared" si="5"/>
        <v>0</v>
      </c>
      <c r="O36" s="106">
        <f t="shared" si="5"/>
        <v>0</v>
      </c>
      <c r="P36" s="106">
        <f t="shared" si="5"/>
        <v>0</v>
      </c>
      <c r="Q36" s="106">
        <f t="shared" si="5"/>
        <v>0</v>
      </c>
      <c r="R36" s="106">
        <f t="shared" si="5"/>
        <v>0</v>
      </c>
      <c r="S36" s="106">
        <f t="shared" si="5"/>
        <v>0</v>
      </c>
      <c r="T36" s="106">
        <f t="shared" si="5"/>
        <v>0</v>
      </c>
      <c r="U36" s="106">
        <f t="shared" si="5"/>
        <v>0</v>
      </c>
      <c r="V36" s="106">
        <f t="shared" si="5"/>
        <v>0</v>
      </c>
      <c r="W36" s="106">
        <f t="shared" si="5"/>
        <v>0</v>
      </c>
      <c r="X36" s="106">
        <f t="shared" si="5"/>
        <v>0</v>
      </c>
      <c r="Y36" s="106">
        <f t="shared" si="5"/>
        <v>0</v>
      </c>
    </row>
    <row r="37" spans="1:25" ht="21" customHeight="1">
      <c r="A37" s="98" t="s">
        <v>11</v>
      </c>
      <c r="B37" s="106">
        <f t="shared" ref="B37:Y37" si="6">SUM(B56,B67,B62)</f>
        <v>716</v>
      </c>
      <c r="C37" s="106">
        <f t="shared" si="6"/>
        <v>491</v>
      </c>
      <c r="D37" s="106">
        <f t="shared" si="6"/>
        <v>535</v>
      </c>
      <c r="E37" s="106">
        <f t="shared" si="6"/>
        <v>469</v>
      </c>
      <c r="F37" s="106">
        <f t="shared" si="6"/>
        <v>52</v>
      </c>
      <c r="G37" s="106">
        <f t="shared" si="6"/>
        <v>2</v>
      </c>
      <c r="H37" s="106">
        <f t="shared" si="6"/>
        <v>0</v>
      </c>
      <c r="I37" s="106">
        <f t="shared" si="6"/>
        <v>0</v>
      </c>
      <c r="J37" s="106">
        <f t="shared" si="6"/>
        <v>0</v>
      </c>
      <c r="K37" s="106">
        <f t="shared" si="6"/>
        <v>0</v>
      </c>
      <c r="L37" s="106">
        <f t="shared" si="6"/>
        <v>0</v>
      </c>
      <c r="M37" s="106">
        <f t="shared" si="6"/>
        <v>0</v>
      </c>
      <c r="N37" s="106">
        <f t="shared" si="6"/>
        <v>0</v>
      </c>
      <c r="O37" s="106">
        <f t="shared" si="6"/>
        <v>0</v>
      </c>
      <c r="P37" s="106">
        <f t="shared" si="6"/>
        <v>0</v>
      </c>
      <c r="Q37" s="106">
        <f t="shared" si="6"/>
        <v>0</v>
      </c>
      <c r="R37" s="106">
        <f t="shared" si="6"/>
        <v>0</v>
      </c>
      <c r="S37" s="106">
        <f t="shared" si="6"/>
        <v>0</v>
      </c>
      <c r="T37" s="106">
        <f t="shared" si="6"/>
        <v>0</v>
      </c>
      <c r="U37" s="106">
        <f t="shared" si="6"/>
        <v>0</v>
      </c>
      <c r="V37" s="106">
        <f t="shared" si="6"/>
        <v>0</v>
      </c>
      <c r="W37" s="106">
        <f t="shared" si="6"/>
        <v>0</v>
      </c>
      <c r="X37" s="106">
        <f t="shared" si="6"/>
        <v>0</v>
      </c>
      <c r="Y37" s="106">
        <f t="shared" si="6"/>
        <v>0</v>
      </c>
    </row>
    <row r="38" spans="1:25" ht="21" customHeight="1">
      <c r="A38" s="99" t="s">
        <v>138</v>
      </c>
      <c r="B38" s="99">
        <v>95</v>
      </c>
      <c r="C38" s="388">
        <v>55</v>
      </c>
      <c r="D38" s="123">
        <v>76</v>
      </c>
      <c r="E38" s="109">
        <v>60</v>
      </c>
      <c r="F38" s="109">
        <v>7</v>
      </c>
      <c r="G38" s="109"/>
      <c r="H38" s="109"/>
      <c r="I38" s="716"/>
      <c r="J38" s="716"/>
      <c r="K38" s="109"/>
      <c r="L38" s="109"/>
      <c r="M38" s="109"/>
      <c r="N38" s="109"/>
      <c r="O38" s="752"/>
      <c r="P38" s="693"/>
      <c r="Q38" s="693"/>
      <c r="R38" s="693"/>
      <c r="S38" s="693"/>
      <c r="T38" s="693"/>
      <c r="U38" s="693"/>
      <c r="V38" s="693"/>
      <c r="W38" s="693"/>
      <c r="X38" s="693"/>
      <c r="Y38" s="693"/>
    </row>
    <row r="39" spans="1:25" ht="21" customHeight="1">
      <c r="A39" s="100" t="s">
        <v>91</v>
      </c>
      <c r="B39" s="100">
        <v>100</v>
      </c>
      <c r="C39" s="386">
        <v>72</v>
      </c>
      <c r="D39" s="124">
        <v>67</v>
      </c>
      <c r="E39" s="108">
        <v>70</v>
      </c>
      <c r="F39" s="108">
        <v>8</v>
      </c>
      <c r="G39" s="108"/>
      <c r="H39" s="108"/>
      <c r="I39" s="252"/>
      <c r="J39" s="252"/>
      <c r="K39" s="108"/>
      <c r="L39" s="108"/>
      <c r="M39" s="108"/>
      <c r="N39" s="108"/>
      <c r="O39" s="751"/>
      <c r="P39" s="691"/>
      <c r="Q39" s="691"/>
      <c r="R39" s="691"/>
      <c r="S39" s="691"/>
      <c r="T39" s="691"/>
      <c r="U39" s="691"/>
      <c r="V39" s="691"/>
      <c r="W39" s="691"/>
      <c r="X39" s="691"/>
      <c r="Y39" s="691"/>
    </row>
    <row r="40" spans="1:25" ht="21" customHeight="1">
      <c r="A40" s="100" t="s">
        <v>9</v>
      </c>
      <c r="B40" s="100">
        <v>38</v>
      </c>
      <c r="C40" s="386">
        <v>28</v>
      </c>
      <c r="D40" s="124">
        <v>32</v>
      </c>
      <c r="E40" s="108">
        <v>35</v>
      </c>
      <c r="F40" s="108">
        <v>8</v>
      </c>
      <c r="G40" s="108"/>
      <c r="H40" s="108"/>
      <c r="I40" s="252"/>
      <c r="J40" s="252"/>
      <c r="K40" s="108"/>
      <c r="L40" s="108"/>
      <c r="M40" s="108"/>
      <c r="N40" s="108"/>
      <c r="O40" s="751"/>
      <c r="P40" s="691"/>
      <c r="Q40" s="691"/>
      <c r="R40" s="691"/>
      <c r="S40" s="691"/>
      <c r="T40" s="691"/>
      <c r="U40" s="691"/>
      <c r="V40" s="691"/>
      <c r="W40" s="691"/>
      <c r="X40" s="691"/>
      <c r="Y40" s="691"/>
    </row>
    <row r="41" spans="1:25" ht="21" customHeight="1">
      <c r="A41" s="100" t="s">
        <v>12</v>
      </c>
      <c r="B41" s="100">
        <v>59</v>
      </c>
      <c r="C41" s="386">
        <v>24</v>
      </c>
      <c r="D41" s="124">
        <v>49</v>
      </c>
      <c r="E41" s="108">
        <v>21</v>
      </c>
      <c r="F41" s="108">
        <v>12</v>
      </c>
      <c r="G41" s="108"/>
      <c r="H41" s="108"/>
      <c r="I41" s="252"/>
      <c r="J41" s="252"/>
      <c r="K41" s="108"/>
      <c r="L41" s="108"/>
      <c r="M41" s="108"/>
      <c r="N41" s="108"/>
      <c r="O41" s="751"/>
      <c r="P41" s="691"/>
      <c r="Q41" s="691"/>
      <c r="R41" s="691"/>
      <c r="S41" s="691"/>
      <c r="T41" s="691"/>
      <c r="U41" s="691"/>
      <c r="V41" s="691"/>
      <c r="W41" s="691"/>
      <c r="X41" s="691"/>
      <c r="Y41" s="691"/>
    </row>
    <row r="42" spans="1:25" ht="21" customHeight="1">
      <c r="A42" s="100" t="s">
        <v>13</v>
      </c>
      <c r="B42" s="100">
        <v>59</v>
      </c>
      <c r="C42" s="386">
        <v>20</v>
      </c>
      <c r="D42" s="124">
        <v>31</v>
      </c>
      <c r="E42" s="108">
        <v>25</v>
      </c>
      <c r="F42" s="108"/>
      <c r="G42" s="108"/>
      <c r="H42" s="108"/>
      <c r="I42" s="252"/>
      <c r="J42" s="252"/>
      <c r="K42" s="108"/>
      <c r="L42" s="108"/>
      <c r="M42" s="108"/>
      <c r="N42" s="108"/>
      <c r="O42" s="751"/>
      <c r="P42" s="691"/>
      <c r="Q42" s="691"/>
      <c r="R42" s="691"/>
      <c r="S42" s="691"/>
      <c r="T42" s="691"/>
      <c r="U42" s="691"/>
      <c r="V42" s="691"/>
      <c r="W42" s="691"/>
      <c r="X42" s="691"/>
      <c r="Y42" s="691"/>
    </row>
    <row r="43" spans="1:25" ht="21" hidden="1" customHeight="1">
      <c r="A43" s="100" t="s">
        <v>14</v>
      </c>
      <c r="B43" s="100"/>
      <c r="C43" s="386"/>
      <c r="D43" s="124"/>
      <c r="E43" s="108"/>
      <c r="F43" s="108"/>
      <c r="G43" s="108"/>
      <c r="H43" s="108"/>
      <c r="I43" s="252"/>
      <c r="J43" s="108"/>
      <c r="K43" s="108"/>
      <c r="L43" s="108"/>
      <c r="M43" s="108"/>
      <c r="N43" s="108"/>
      <c r="O43" s="751"/>
      <c r="P43" s="691"/>
      <c r="Q43" s="691"/>
      <c r="R43" s="691"/>
      <c r="S43" s="691"/>
      <c r="T43" s="691"/>
      <c r="U43" s="691"/>
      <c r="V43" s="691"/>
      <c r="W43" s="691"/>
      <c r="X43" s="691"/>
      <c r="Y43" s="691"/>
    </row>
    <row r="44" spans="1:25" ht="21" customHeight="1">
      <c r="A44" s="100" t="s">
        <v>116</v>
      </c>
      <c r="B44" s="100">
        <v>77</v>
      </c>
      <c r="C44" s="386">
        <v>60</v>
      </c>
      <c r="D44" s="124">
        <v>36</v>
      </c>
      <c r="E44" s="108">
        <v>40</v>
      </c>
      <c r="F44" s="108">
        <v>7</v>
      </c>
      <c r="G44" s="108"/>
      <c r="H44" s="108"/>
      <c r="I44" s="252"/>
      <c r="J44" s="252"/>
      <c r="K44" s="108"/>
      <c r="L44" s="108"/>
      <c r="M44" s="108"/>
      <c r="N44" s="108"/>
      <c r="O44" s="751"/>
      <c r="P44" s="691"/>
      <c r="Q44" s="691"/>
      <c r="R44" s="691"/>
      <c r="S44" s="691"/>
      <c r="T44" s="691"/>
      <c r="U44" s="691"/>
      <c r="V44" s="691"/>
      <c r="W44" s="691"/>
      <c r="X44" s="691"/>
      <c r="Y44" s="691"/>
    </row>
    <row r="45" spans="1:25" ht="21" hidden="1" customHeight="1">
      <c r="A45" s="100" t="s">
        <v>167</v>
      </c>
      <c r="B45" s="100"/>
      <c r="C45" s="386"/>
      <c r="D45" s="124"/>
      <c r="E45" s="108"/>
      <c r="F45" s="108"/>
      <c r="G45" s="108"/>
      <c r="H45" s="108"/>
      <c r="I45" s="252"/>
      <c r="J45" s="108"/>
      <c r="K45" s="108"/>
      <c r="L45" s="108"/>
      <c r="M45" s="108"/>
      <c r="N45" s="108"/>
      <c r="O45" s="751"/>
      <c r="P45" s="691"/>
      <c r="Q45" s="691"/>
      <c r="R45" s="691"/>
      <c r="S45" s="691"/>
      <c r="T45" s="691"/>
      <c r="U45" s="691"/>
      <c r="V45" s="691"/>
      <c r="W45" s="691"/>
      <c r="X45" s="691"/>
      <c r="Y45" s="691"/>
    </row>
    <row r="46" spans="1:25" ht="21" customHeight="1">
      <c r="A46" s="100" t="s">
        <v>166</v>
      </c>
      <c r="B46" s="100">
        <v>87</v>
      </c>
      <c r="C46" s="386">
        <v>77</v>
      </c>
      <c r="D46" s="124">
        <v>72</v>
      </c>
      <c r="E46" s="108">
        <v>78</v>
      </c>
      <c r="F46" s="108">
        <v>0</v>
      </c>
      <c r="G46" s="108"/>
      <c r="H46" s="108"/>
      <c r="I46" s="252"/>
      <c r="J46" s="252"/>
      <c r="K46" s="108"/>
      <c r="L46" s="108"/>
      <c r="M46" s="108"/>
      <c r="N46" s="108"/>
      <c r="O46" s="751"/>
      <c r="P46" s="691"/>
      <c r="Q46" s="691"/>
      <c r="R46" s="691"/>
      <c r="S46" s="691"/>
      <c r="T46" s="691"/>
      <c r="U46" s="691"/>
      <c r="V46" s="691"/>
      <c r="W46" s="691"/>
      <c r="X46" s="691"/>
      <c r="Y46" s="691"/>
    </row>
    <row r="47" spans="1:25" ht="21" customHeight="1">
      <c r="A47" s="100" t="s">
        <v>137</v>
      </c>
      <c r="B47" s="100">
        <v>56</v>
      </c>
      <c r="C47" s="386">
        <v>38</v>
      </c>
      <c r="D47" s="124">
        <v>45</v>
      </c>
      <c r="E47" s="108">
        <v>31</v>
      </c>
      <c r="F47" s="108">
        <v>3</v>
      </c>
      <c r="G47" s="108"/>
      <c r="H47" s="108"/>
      <c r="I47" s="252"/>
      <c r="J47" s="252"/>
      <c r="K47" s="108"/>
      <c r="L47" s="108"/>
      <c r="M47" s="108"/>
      <c r="N47" s="108"/>
      <c r="O47" s="751"/>
      <c r="P47" s="691"/>
      <c r="Q47" s="691"/>
      <c r="R47" s="691"/>
      <c r="S47" s="691"/>
      <c r="T47" s="691"/>
      <c r="U47" s="691"/>
      <c r="V47" s="691"/>
      <c r="W47" s="691"/>
      <c r="X47" s="691"/>
      <c r="Y47" s="691"/>
    </row>
    <row r="48" spans="1:25" ht="21" customHeight="1">
      <c r="A48" s="99" t="s">
        <v>365</v>
      </c>
      <c r="B48" s="99">
        <v>87</v>
      </c>
      <c r="C48" s="388">
        <v>77</v>
      </c>
      <c r="D48" s="123">
        <v>72</v>
      </c>
      <c r="E48" s="109">
        <v>78</v>
      </c>
      <c r="F48" s="109">
        <v>0</v>
      </c>
      <c r="G48" s="109"/>
      <c r="H48" s="109"/>
      <c r="I48" s="716"/>
      <c r="J48" s="716"/>
      <c r="K48" s="109"/>
      <c r="L48" s="109"/>
      <c r="M48" s="109"/>
      <c r="N48" s="109"/>
      <c r="O48" s="752"/>
      <c r="P48" s="691"/>
      <c r="Q48" s="691"/>
      <c r="R48" s="691"/>
      <c r="S48" s="691"/>
      <c r="T48" s="691"/>
      <c r="U48" s="691"/>
      <c r="V48" s="691"/>
      <c r="W48" s="691"/>
      <c r="X48" s="691"/>
      <c r="Y48" s="691"/>
    </row>
    <row r="49" spans="1:25" ht="21" customHeight="1">
      <c r="A49" s="103" t="s">
        <v>366</v>
      </c>
      <c r="B49" s="103">
        <v>56</v>
      </c>
      <c r="C49" s="367">
        <v>38</v>
      </c>
      <c r="D49" s="125">
        <v>45</v>
      </c>
      <c r="E49" s="111">
        <v>31</v>
      </c>
      <c r="F49" s="111">
        <v>3</v>
      </c>
      <c r="G49" s="111"/>
      <c r="H49" s="111"/>
      <c r="I49" s="107"/>
      <c r="J49" s="107"/>
      <c r="K49" s="111"/>
      <c r="L49" s="111"/>
      <c r="M49" s="111"/>
      <c r="N49" s="111"/>
      <c r="O49" s="753"/>
      <c r="P49" s="692"/>
      <c r="Q49" s="692"/>
      <c r="R49" s="692"/>
      <c r="S49" s="692"/>
      <c r="T49" s="692"/>
      <c r="U49" s="692"/>
      <c r="V49" s="692"/>
      <c r="W49" s="692"/>
      <c r="X49" s="692"/>
      <c r="Y49" s="692"/>
    </row>
    <row r="50" spans="1:25" ht="21" customHeight="1">
      <c r="A50" s="681" t="s">
        <v>396</v>
      </c>
      <c r="B50" s="100"/>
      <c r="C50" s="386"/>
      <c r="D50" s="124"/>
      <c r="E50" s="108"/>
      <c r="F50" s="108"/>
      <c r="G50" s="108"/>
      <c r="H50" s="108"/>
      <c r="I50" s="252"/>
      <c r="J50" s="252"/>
      <c r="K50" s="108"/>
      <c r="L50" s="108"/>
      <c r="M50" s="108"/>
      <c r="N50" s="108"/>
      <c r="O50" s="108"/>
      <c r="P50" s="691"/>
      <c r="Q50" s="691"/>
      <c r="R50" s="691"/>
      <c r="S50" s="691"/>
      <c r="T50" s="691"/>
      <c r="U50" s="691"/>
      <c r="V50" s="691"/>
      <c r="W50" s="691"/>
      <c r="X50" s="691"/>
      <c r="Y50" s="691"/>
    </row>
    <row r="51" spans="1:25" ht="21" customHeight="1">
      <c r="A51" s="681"/>
      <c r="B51" s="100"/>
      <c r="C51" s="386"/>
      <c r="D51" s="124"/>
      <c r="E51" s="108"/>
      <c r="F51" s="108"/>
      <c r="G51" s="108"/>
      <c r="H51" s="108"/>
      <c r="I51" s="252"/>
      <c r="J51" s="252"/>
      <c r="K51" s="108"/>
      <c r="L51" s="108"/>
      <c r="M51" s="108"/>
      <c r="N51" s="108"/>
      <c r="O51" s="108"/>
      <c r="P51" s="691"/>
      <c r="Q51" s="691"/>
      <c r="R51" s="691"/>
      <c r="S51" s="691"/>
      <c r="T51" s="691"/>
      <c r="U51" s="691"/>
      <c r="V51" s="691"/>
      <c r="W51" s="691"/>
      <c r="X51" s="691"/>
      <c r="Y51" s="691"/>
    </row>
    <row r="52" spans="1:25" ht="21" customHeight="1">
      <c r="A52" s="100"/>
      <c r="B52" s="100"/>
      <c r="C52" s="386"/>
      <c r="D52" s="124"/>
      <c r="E52" s="108"/>
      <c r="F52" s="108"/>
      <c r="G52" s="108"/>
      <c r="H52" s="108"/>
      <c r="I52" s="252"/>
      <c r="J52" s="252"/>
      <c r="K52" s="108"/>
      <c r="L52" s="108"/>
      <c r="M52" s="108"/>
      <c r="N52" s="108"/>
      <c r="O52" s="108"/>
      <c r="P52" s="691"/>
      <c r="Q52" s="691"/>
      <c r="R52" s="691"/>
      <c r="S52" s="691"/>
      <c r="T52" s="691"/>
      <c r="U52" s="691"/>
      <c r="V52" s="691"/>
      <c r="W52" s="691"/>
      <c r="X52" s="691"/>
      <c r="Y52" s="691"/>
    </row>
    <row r="53" spans="1:25" ht="21" customHeight="1">
      <c r="A53" s="100"/>
      <c r="B53" s="100"/>
      <c r="C53" s="386"/>
      <c r="D53" s="124"/>
      <c r="E53" s="108"/>
      <c r="F53" s="108"/>
      <c r="G53" s="108"/>
      <c r="H53" s="108"/>
      <c r="I53" s="252"/>
      <c r="J53" s="252"/>
      <c r="K53" s="108"/>
      <c r="L53" s="108"/>
      <c r="M53" s="108"/>
      <c r="N53" s="108"/>
      <c r="O53" s="108"/>
      <c r="P53" s="691"/>
      <c r="Q53" s="691"/>
      <c r="R53" s="691"/>
      <c r="S53" s="691"/>
      <c r="T53" s="691"/>
      <c r="U53" s="691"/>
      <c r="V53" s="691"/>
      <c r="W53" s="691"/>
      <c r="X53" s="691"/>
      <c r="Y53" s="691"/>
    </row>
    <row r="54" spans="1:25" ht="21" customHeight="1">
      <c r="A54" s="100"/>
      <c r="B54" s="100"/>
      <c r="C54" s="386"/>
      <c r="D54" s="124"/>
      <c r="E54" s="108"/>
      <c r="F54" s="108"/>
      <c r="G54" s="108"/>
      <c r="H54" s="108"/>
      <c r="I54" s="252"/>
      <c r="J54" s="252"/>
      <c r="K54" s="108"/>
      <c r="L54" s="108"/>
      <c r="M54" s="108"/>
      <c r="N54" s="108"/>
      <c r="O54" s="108"/>
      <c r="P54" s="691"/>
      <c r="Q54" s="691"/>
      <c r="R54" s="691"/>
      <c r="S54" s="691"/>
      <c r="T54" s="691"/>
      <c r="U54" s="691"/>
      <c r="V54" s="691"/>
      <c r="W54" s="691"/>
      <c r="X54" s="691"/>
      <c r="Y54" s="691"/>
    </row>
    <row r="55" spans="1:25" ht="21" customHeight="1">
      <c r="A55" s="401"/>
      <c r="B55" s="401"/>
      <c r="C55" s="676"/>
      <c r="D55" s="677"/>
      <c r="E55" s="670"/>
      <c r="F55" s="670"/>
      <c r="G55" s="670"/>
      <c r="H55" s="670"/>
      <c r="I55" s="668"/>
      <c r="J55" s="668"/>
      <c r="K55" s="670"/>
      <c r="L55" s="670"/>
      <c r="M55" s="670"/>
      <c r="N55" s="670"/>
      <c r="O55" s="670"/>
      <c r="P55" s="754"/>
      <c r="Q55" s="754"/>
      <c r="R55" s="754"/>
      <c r="S55" s="754"/>
      <c r="T55" s="754"/>
      <c r="U55" s="754"/>
      <c r="V55" s="754"/>
      <c r="W55" s="754"/>
      <c r="X55" s="754"/>
      <c r="Y55" s="754"/>
    </row>
    <row r="56" spans="1:25" ht="21" customHeight="1">
      <c r="A56" s="95" t="s">
        <v>3</v>
      </c>
      <c r="B56" s="106">
        <f t="shared" ref="B56:I56" si="7">SUM(B38:B49)</f>
        <v>714</v>
      </c>
      <c r="C56" s="106">
        <f t="shared" si="7"/>
        <v>489</v>
      </c>
      <c r="D56" s="106">
        <f t="shared" si="7"/>
        <v>525</v>
      </c>
      <c r="E56" s="106">
        <f t="shared" si="7"/>
        <v>469</v>
      </c>
      <c r="F56" s="106">
        <f t="shared" si="7"/>
        <v>48</v>
      </c>
      <c r="G56" s="106">
        <f t="shared" si="7"/>
        <v>0</v>
      </c>
      <c r="H56" s="106">
        <f t="shared" si="7"/>
        <v>0</v>
      </c>
      <c r="I56" s="106">
        <f t="shared" si="7"/>
        <v>0</v>
      </c>
      <c r="J56" s="106">
        <f t="shared" ref="J56:O56" si="8">SUM(J38:J49)</f>
        <v>0</v>
      </c>
      <c r="K56" s="106">
        <f>SUM(K38:K49)</f>
        <v>0</v>
      </c>
      <c r="L56" s="106">
        <f t="shared" si="8"/>
        <v>0</v>
      </c>
      <c r="M56" s="106">
        <f t="shared" si="8"/>
        <v>0</v>
      </c>
      <c r="N56" s="106">
        <f t="shared" si="8"/>
        <v>0</v>
      </c>
      <c r="O56" s="106">
        <f t="shared" si="8"/>
        <v>0</v>
      </c>
      <c r="P56" s="377"/>
      <c r="Q56" s="377"/>
      <c r="R56" s="377"/>
      <c r="S56" s="377"/>
      <c r="T56" s="377"/>
      <c r="U56" s="377"/>
      <c r="V56" s="377"/>
      <c r="W56" s="377"/>
      <c r="X56" s="377"/>
      <c r="Y56" s="377"/>
    </row>
    <row r="57" spans="1:25" ht="21" customHeight="1">
      <c r="A57" s="678" t="s">
        <v>48</v>
      </c>
      <c r="B57" s="678"/>
      <c r="C57" s="678"/>
      <c r="D57" s="661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735"/>
      <c r="Q57" s="735"/>
      <c r="R57" s="735"/>
      <c r="S57" s="735"/>
      <c r="T57" s="735"/>
      <c r="U57" s="735"/>
      <c r="V57" s="735"/>
      <c r="W57" s="735"/>
      <c r="X57" s="735"/>
      <c r="Y57" s="735"/>
    </row>
    <row r="58" spans="1:25" ht="21" customHeight="1">
      <c r="A58" s="250" t="s">
        <v>13</v>
      </c>
      <c r="B58" s="250">
        <v>1</v>
      </c>
      <c r="C58" s="250">
        <v>1</v>
      </c>
      <c r="D58" s="251">
        <v>5</v>
      </c>
      <c r="E58" s="252"/>
      <c r="F58" s="252">
        <v>2</v>
      </c>
      <c r="G58" s="252"/>
      <c r="H58" s="252"/>
      <c r="I58" s="252"/>
      <c r="J58" s="252"/>
      <c r="K58" s="251"/>
      <c r="L58" s="251"/>
      <c r="M58" s="251"/>
      <c r="N58" s="251"/>
      <c r="O58" s="251"/>
      <c r="P58" s="691"/>
      <c r="Q58" s="691"/>
      <c r="R58" s="691"/>
      <c r="S58" s="691"/>
      <c r="T58" s="691"/>
      <c r="U58" s="691"/>
      <c r="V58" s="691"/>
      <c r="W58" s="691"/>
      <c r="X58" s="691"/>
      <c r="Y58" s="691"/>
    </row>
    <row r="59" spans="1:25" ht="21" customHeight="1">
      <c r="A59" s="250" t="s">
        <v>174</v>
      </c>
      <c r="B59" s="250"/>
      <c r="C59" s="250"/>
      <c r="D59" s="251">
        <v>1</v>
      </c>
      <c r="E59" s="252"/>
      <c r="F59" s="252">
        <v>2</v>
      </c>
      <c r="G59" s="252"/>
      <c r="H59" s="252"/>
      <c r="I59" s="252"/>
      <c r="J59" s="252"/>
      <c r="K59" s="251"/>
      <c r="L59" s="251"/>
      <c r="M59" s="251"/>
      <c r="N59" s="251"/>
      <c r="O59" s="251"/>
      <c r="P59" s="691"/>
      <c r="Q59" s="691"/>
      <c r="R59" s="691"/>
      <c r="S59" s="691"/>
      <c r="T59" s="691"/>
      <c r="U59" s="691"/>
      <c r="V59" s="691"/>
      <c r="W59" s="691"/>
      <c r="X59" s="691"/>
      <c r="Y59" s="691"/>
    </row>
    <row r="60" spans="1:25" ht="21" customHeight="1">
      <c r="A60" s="250"/>
      <c r="B60" s="250"/>
      <c r="C60" s="250"/>
      <c r="D60" s="251"/>
      <c r="E60" s="252"/>
      <c r="F60" s="252"/>
      <c r="G60" s="252"/>
      <c r="H60" s="252"/>
      <c r="I60" s="252"/>
      <c r="J60" s="252"/>
      <c r="K60" s="251"/>
      <c r="L60" s="251"/>
      <c r="M60" s="251"/>
      <c r="N60" s="251"/>
      <c r="O60" s="251"/>
      <c r="P60" s="691"/>
      <c r="Q60" s="691"/>
      <c r="R60" s="691"/>
      <c r="S60" s="691"/>
      <c r="T60" s="691"/>
      <c r="U60" s="691"/>
      <c r="V60" s="691"/>
      <c r="W60" s="691"/>
      <c r="X60" s="691"/>
      <c r="Y60" s="691"/>
    </row>
    <row r="61" spans="1:25" ht="21" customHeight="1">
      <c r="A61" s="665"/>
      <c r="B61" s="665"/>
      <c r="C61" s="665"/>
      <c r="D61" s="667"/>
      <c r="E61" s="668"/>
      <c r="F61" s="668"/>
      <c r="G61" s="668"/>
      <c r="H61" s="668"/>
      <c r="I61" s="668"/>
      <c r="J61" s="668"/>
      <c r="K61" s="667"/>
      <c r="L61" s="667"/>
      <c r="M61" s="667"/>
      <c r="N61" s="667"/>
      <c r="O61" s="667"/>
      <c r="P61" s="754"/>
      <c r="Q61" s="754"/>
      <c r="R61" s="754"/>
      <c r="S61" s="754"/>
      <c r="T61" s="754"/>
      <c r="U61" s="754"/>
      <c r="V61" s="754"/>
      <c r="W61" s="754"/>
      <c r="X61" s="754"/>
      <c r="Y61" s="754"/>
    </row>
    <row r="62" spans="1:25" ht="21" customHeight="1">
      <c r="A62" s="95" t="s">
        <v>3</v>
      </c>
      <c r="B62" s="106">
        <f t="shared" ref="B62:O62" si="9">SUM(B58:B59)</f>
        <v>1</v>
      </c>
      <c r="C62" s="106">
        <f t="shared" si="9"/>
        <v>1</v>
      </c>
      <c r="D62" s="106">
        <f t="shared" si="9"/>
        <v>6</v>
      </c>
      <c r="E62" s="106">
        <f t="shared" si="9"/>
        <v>0</v>
      </c>
      <c r="F62" s="106">
        <f t="shared" si="9"/>
        <v>4</v>
      </c>
      <c r="G62" s="106">
        <f t="shared" si="9"/>
        <v>0</v>
      </c>
      <c r="H62" s="106">
        <f t="shared" si="9"/>
        <v>0</v>
      </c>
      <c r="I62" s="106">
        <f t="shared" si="9"/>
        <v>0</v>
      </c>
      <c r="J62" s="106">
        <f t="shared" si="9"/>
        <v>0</v>
      </c>
      <c r="K62" s="106">
        <f t="shared" si="9"/>
        <v>0</v>
      </c>
      <c r="L62" s="106">
        <f t="shared" si="9"/>
        <v>0</v>
      </c>
      <c r="M62" s="106">
        <f t="shared" si="9"/>
        <v>0</v>
      </c>
      <c r="N62" s="106">
        <f t="shared" si="9"/>
        <v>0</v>
      </c>
      <c r="O62" s="106">
        <f t="shared" si="9"/>
        <v>0</v>
      </c>
      <c r="P62" s="377"/>
      <c r="Q62" s="377"/>
      <c r="R62" s="377"/>
      <c r="S62" s="377"/>
      <c r="T62" s="377"/>
      <c r="U62" s="377"/>
      <c r="V62" s="377"/>
      <c r="W62" s="377"/>
      <c r="X62" s="377"/>
      <c r="Y62" s="377"/>
    </row>
    <row r="63" spans="1:25" ht="21" customHeight="1">
      <c r="A63" s="759" t="s">
        <v>49</v>
      </c>
      <c r="B63" s="759"/>
      <c r="C63" s="759"/>
      <c r="D63" s="757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693"/>
      <c r="Q63" s="693"/>
      <c r="R63" s="693"/>
      <c r="S63" s="693"/>
      <c r="T63" s="693"/>
      <c r="U63" s="693"/>
      <c r="V63" s="693"/>
      <c r="W63" s="693"/>
      <c r="X63" s="693"/>
      <c r="Y63" s="693"/>
    </row>
    <row r="64" spans="1:25" ht="21" customHeight="1">
      <c r="A64" s="250" t="s">
        <v>13</v>
      </c>
      <c r="B64" s="250">
        <v>1</v>
      </c>
      <c r="C64" s="250">
        <v>1</v>
      </c>
      <c r="D64" s="251">
        <v>4</v>
      </c>
      <c r="E64" s="252"/>
      <c r="F64" s="252"/>
      <c r="G64" s="252">
        <v>2</v>
      </c>
      <c r="H64" s="252"/>
      <c r="I64" s="252"/>
      <c r="J64" s="252"/>
      <c r="K64" s="252"/>
      <c r="L64" s="252"/>
      <c r="M64" s="252"/>
      <c r="N64" s="252"/>
      <c r="O64" s="252"/>
      <c r="P64" s="691"/>
      <c r="Q64" s="691"/>
      <c r="R64" s="691"/>
      <c r="S64" s="691"/>
      <c r="T64" s="691"/>
      <c r="U64" s="691"/>
      <c r="V64" s="691"/>
      <c r="W64" s="691"/>
      <c r="X64" s="691"/>
      <c r="Y64" s="691"/>
    </row>
    <row r="65" spans="1:25" ht="21" customHeight="1">
      <c r="A65" s="250"/>
      <c r="B65" s="250"/>
      <c r="C65" s="25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691"/>
      <c r="Q65" s="691"/>
      <c r="R65" s="691"/>
      <c r="S65" s="691"/>
      <c r="T65" s="691"/>
      <c r="U65" s="691"/>
      <c r="V65" s="691"/>
      <c r="W65" s="691"/>
      <c r="X65" s="691"/>
      <c r="Y65" s="691"/>
    </row>
    <row r="66" spans="1:25" ht="21" customHeight="1">
      <c r="A66" s="665"/>
      <c r="B66" s="665"/>
      <c r="C66" s="665"/>
      <c r="D66" s="667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754"/>
      <c r="Q66" s="754"/>
      <c r="R66" s="754"/>
      <c r="S66" s="754"/>
      <c r="T66" s="754"/>
      <c r="U66" s="754"/>
      <c r="V66" s="754"/>
      <c r="W66" s="754"/>
      <c r="X66" s="754"/>
      <c r="Y66" s="754"/>
    </row>
    <row r="67" spans="1:25" ht="21" customHeight="1">
      <c r="A67" s="95" t="s">
        <v>3</v>
      </c>
      <c r="B67" s="106">
        <f t="shared" ref="B67:Y67" si="10">SUM(B64:B64)</f>
        <v>1</v>
      </c>
      <c r="C67" s="106">
        <f t="shared" si="10"/>
        <v>1</v>
      </c>
      <c r="D67" s="106">
        <f t="shared" si="10"/>
        <v>4</v>
      </c>
      <c r="E67" s="106">
        <f t="shared" si="10"/>
        <v>0</v>
      </c>
      <c r="F67" s="106">
        <f t="shared" si="10"/>
        <v>0</v>
      </c>
      <c r="G67" s="106">
        <f t="shared" si="10"/>
        <v>2</v>
      </c>
      <c r="H67" s="106">
        <f t="shared" si="10"/>
        <v>0</v>
      </c>
      <c r="I67" s="106">
        <f t="shared" si="10"/>
        <v>0</v>
      </c>
      <c r="J67" s="106">
        <f t="shared" si="10"/>
        <v>0</v>
      </c>
      <c r="K67" s="106">
        <f t="shared" si="10"/>
        <v>0</v>
      </c>
      <c r="L67" s="106">
        <f t="shared" si="10"/>
        <v>0</v>
      </c>
      <c r="M67" s="106">
        <f t="shared" si="10"/>
        <v>0</v>
      </c>
      <c r="N67" s="106">
        <f t="shared" si="10"/>
        <v>0</v>
      </c>
      <c r="O67" s="106">
        <f t="shared" si="10"/>
        <v>0</v>
      </c>
      <c r="P67" s="106">
        <f t="shared" si="10"/>
        <v>0</v>
      </c>
      <c r="Q67" s="106">
        <f t="shared" si="10"/>
        <v>0</v>
      </c>
      <c r="R67" s="106">
        <f t="shared" si="10"/>
        <v>0</v>
      </c>
      <c r="S67" s="106">
        <f t="shared" si="10"/>
        <v>0</v>
      </c>
      <c r="T67" s="106">
        <f t="shared" si="10"/>
        <v>0</v>
      </c>
      <c r="U67" s="106">
        <f t="shared" si="10"/>
        <v>0</v>
      </c>
      <c r="V67" s="106">
        <f t="shared" si="10"/>
        <v>0</v>
      </c>
      <c r="W67" s="106">
        <f t="shared" si="10"/>
        <v>0</v>
      </c>
      <c r="X67" s="106">
        <f t="shared" si="10"/>
        <v>0</v>
      </c>
      <c r="Y67" s="106">
        <f t="shared" si="10"/>
        <v>0</v>
      </c>
    </row>
    <row r="68" spans="1:25" ht="21" customHeight="1">
      <c r="A68" s="101" t="s">
        <v>216</v>
      </c>
      <c r="B68" s="110" t="e">
        <f>SUM(B92,B107,#REF!)</f>
        <v>#REF!</v>
      </c>
      <c r="C68" s="110" t="e">
        <f>SUM(C92,C107,#REF!)</f>
        <v>#REF!</v>
      </c>
      <c r="D68" s="110" t="e">
        <f>SUM(D92,D107,#REF!)</f>
        <v>#REF!</v>
      </c>
      <c r="E68" s="110" t="e">
        <f>SUM(E92,E107,#REF!)</f>
        <v>#REF!</v>
      </c>
      <c r="F68" s="110" t="e">
        <f>SUM(F92,F107,#REF!)</f>
        <v>#REF!</v>
      </c>
      <c r="G68" s="595" t="e">
        <f>SUM(G92,G107,#REF!)</f>
        <v>#REF!</v>
      </c>
      <c r="H68" s="110" t="e">
        <f>SUM(H92,H107,#REF!)</f>
        <v>#REF!</v>
      </c>
      <c r="I68" s="110"/>
      <c r="J68" s="110">
        <f>J92+J107</f>
        <v>0</v>
      </c>
      <c r="K68" s="110">
        <f t="shared" ref="K68:Y68" si="11">K92+K107</f>
        <v>0</v>
      </c>
      <c r="L68" s="110">
        <f t="shared" si="11"/>
        <v>0</v>
      </c>
      <c r="M68" s="110">
        <f t="shared" si="11"/>
        <v>0</v>
      </c>
      <c r="N68" s="110">
        <f t="shared" si="11"/>
        <v>0</v>
      </c>
      <c r="O68" s="110">
        <f t="shared" si="11"/>
        <v>0</v>
      </c>
      <c r="P68" s="110">
        <f t="shared" si="11"/>
        <v>0</v>
      </c>
      <c r="Q68" s="110">
        <f t="shared" si="11"/>
        <v>0</v>
      </c>
      <c r="R68" s="110">
        <f t="shared" si="11"/>
        <v>0</v>
      </c>
      <c r="S68" s="110">
        <f t="shared" si="11"/>
        <v>0</v>
      </c>
      <c r="T68" s="110">
        <f t="shared" si="11"/>
        <v>0</v>
      </c>
      <c r="U68" s="110">
        <f t="shared" si="11"/>
        <v>0</v>
      </c>
      <c r="V68" s="110">
        <f t="shared" si="11"/>
        <v>0</v>
      </c>
      <c r="W68" s="110">
        <f t="shared" si="11"/>
        <v>0</v>
      </c>
      <c r="X68" s="110">
        <f t="shared" si="11"/>
        <v>0</v>
      </c>
      <c r="Y68" s="110">
        <f t="shared" si="11"/>
        <v>0</v>
      </c>
    </row>
    <row r="69" spans="1:25" ht="21" hidden="1" customHeight="1">
      <c r="A69" s="259" t="s">
        <v>242</v>
      </c>
      <c r="B69" s="259"/>
      <c r="C69" s="259"/>
      <c r="D69" s="260"/>
      <c r="E69" s="114"/>
      <c r="F69" s="114"/>
      <c r="G69" s="114"/>
      <c r="H69" s="114"/>
      <c r="I69" s="254">
        <f>SUM(B69:H69)</f>
        <v>0</v>
      </c>
      <c r="J69" s="161"/>
      <c r="K69" s="161"/>
      <c r="L69" s="161"/>
      <c r="M69" s="161"/>
      <c r="N69" s="161"/>
      <c r="O69" s="161"/>
      <c r="P69" s="693"/>
      <c r="Q69" s="693"/>
      <c r="R69" s="693"/>
      <c r="S69" s="693"/>
      <c r="T69" s="693"/>
      <c r="U69" s="693"/>
      <c r="V69" s="693"/>
      <c r="W69" s="693"/>
      <c r="X69" s="693"/>
      <c r="Y69" s="693"/>
    </row>
    <row r="70" spans="1:25" ht="21" hidden="1" customHeight="1">
      <c r="A70" s="761" t="s">
        <v>243</v>
      </c>
      <c r="B70" s="398"/>
      <c r="C70" s="398"/>
      <c r="D70" s="675">
        <v>16</v>
      </c>
      <c r="E70" s="664">
        <v>14</v>
      </c>
      <c r="F70" s="664">
        <v>14</v>
      </c>
      <c r="G70" s="664"/>
      <c r="H70" s="664"/>
      <c r="I70" s="662">
        <f t="shared" ref="I70" si="12">SUM(B70:H70)</f>
        <v>44</v>
      </c>
      <c r="J70" s="662">
        <f t="shared" ref="J70" si="13">B70</f>
        <v>0</v>
      </c>
      <c r="K70" s="664"/>
      <c r="L70" s="664"/>
      <c r="M70" s="664"/>
      <c r="N70" s="664"/>
      <c r="O70" s="750"/>
      <c r="P70" s="691"/>
      <c r="Q70" s="691"/>
      <c r="R70" s="691"/>
      <c r="S70" s="691"/>
      <c r="T70" s="691"/>
      <c r="U70" s="691"/>
      <c r="V70" s="691"/>
      <c r="W70" s="691"/>
      <c r="X70" s="691"/>
      <c r="Y70" s="691"/>
    </row>
    <row r="71" spans="1:25" ht="21" customHeight="1">
      <c r="A71" s="762" t="s">
        <v>309</v>
      </c>
      <c r="B71" s="100">
        <v>37</v>
      </c>
      <c r="C71" s="100">
        <v>17</v>
      </c>
      <c r="D71" s="124"/>
      <c r="E71" s="108"/>
      <c r="F71" s="108"/>
      <c r="G71" s="108"/>
      <c r="H71" s="108"/>
      <c r="I71" s="252"/>
      <c r="J71" s="252"/>
      <c r="K71" s="108"/>
      <c r="L71" s="108"/>
      <c r="M71" s="108"/>
      <c r="N71" s="108"/>
      <c r="O71" s="751"/>
      <c r="P71" s="691"/>
      <c r="Q71" s="691"/>
      <c r="R71" s="691"/>
      <c r="S71" s="691"/>
      <c r="T71" s="691"/>
      <c r="U71" s="691"/>
      <c r="V71" s="691"/>
      <c r="W71" s="691"/>
      <c r="X71" s="691"/>
      <c r="Y71" s="691"/>
    </row>
    <row r="72" spans="1:25" ht="21" customHeight="1">
      <c r="A72" s="762" t="s">
        <v>310</v>
      </c>
      <c r="B72" s="100">
        <v>49</v>
      </c>
      <c r="C72" s="100">
        <v>59</v>
      </c>
      <c r="D72" s="124"/>
      <c r="E72" s="108"/>
      <c r="F72" s="108"/>
      <c r="G72" s="108"/>
      <c r="H72" s="108"/>
      <c r="I72" s="252"/>
      <c r="J72" s="252"/>
      <c r="K72" s="108"/>
      <c r="L72" s="108"/>
      <c r="M72" s="108"/>
      <c r="N72" s="108"/>
      <c r="O72" s="751"/>
      <c r="P72" s="691"/>
      <c r="Q72" s="691"/>
      <c r="R72" s="691"/>
      <c r="S72" s="691"/>
      <c r="T72" s="691"/>
      <c r="U72" s="691"/>
      <c r="V72" s="691"/>
      <c r="W72" s="691"/>
      <c r="X72" s="691"/>
      <c r="Y72" s="691"/>
    </row>
    <row r="73" spans="1:25" ht="21" customHeight="1">
      <c r="A73" s="762" t="s">
        <v>311</v>
      </c>
      <c r="B73" s="100">
        <v>34</v>
      </c>
      <c r="C73" s="100">
        <v>26</v>
      </c>
      <c r="D73" s="124"/>
      <c r="E73" s="108"/>
      <c r="F73" s="108"/>
      <c r="G73" s="108"/>
      <c r="H73" s="108"/>
      <c r="I73" s="252"/>
      <c r="J73" s="252"/>
      <c r="K73" s="108"/>
      <c r="L73" s="108"/>
      <c r="M73" s="108"/>
      <c r="N73" s="108"/>
      <c r="O73" s="751"/>
      <c r="P73" s="691"/>
      <c r="Q73" s="691"/>
      <c r="R73" s="691"/>
      <c r="S73" s="691"/>
      <c r="T73" s="691"/>
      <c r="U73" s="691"/>
      <c r="V73" s="691"/>
      <c r="W73" s="691"/>
      <c r="X73" s="691"/>
      <c r="Y73" s="691"/>
    </row>
    <row r="74" spans="1:25" ht="21" customHeight="1">
      <c r="A74" s="762" t="s">
        <v>312</v>
      </c>
      <c r="B74" s="100">
        <v>71</v>
      </c>
      <c r="C74" s="100">
        <v>45</v>
      </c>
      <c r="D74" s="124"/>
      <c r="E74" s="108"/>
      <c r="F74" s="108"/>
      <c r="G74" s="108"/>
      <c r="H74" s="108"/>
      <c r="I74" s="252"/>
      <c r="J74" s="252"/>
      <c r="K74" s="108"/>
      <c r="L74" s="108"/>
      <c r="M74" s="108"/>
      <c r="N74" s="108"/>
      <c r="O74" s="751"/>
      <c r="P74" s="691"/>
      <c r="Q74" s="691"/>
      <c r="R74" s="691"/>
      <c r="S74" s="691"/>
      <c r="T74" s="691"/>
      <c r="U74" s="691"/>
      <c r="V74" s="691"/>
      <c r="W74" s="691"/>
      <c r="X74" s="691"/>
      <c r="Y74" s="691"/>
    </row>
    <row r="75" spans="1:25" ht="21" hidden="1" customHeight="1">
      <c r="A75" s="762" t="s">
        <v>218</v>
      </c>
      <c r="B75" s="100"/>
      <c r="C75" s="100"/>
      <c r="D75" s="124">
        <v>61</v>
      </c>
      <c r="E75" s="108">
        <v>58</v>
      </c>
      <c r="F75" s="108">
        <v>4</v>
      </c>
      <c r="G75" s="108"/>
      <c r="H75" s="108"/>
      <c r="I75" s="252"/>
      <c r="J75" s="252"/>
      <c r="K75" s="108"/>
      <c r="L75" s="108"/>
      <c r="M75" s="108"/>
      <c r="N75" s="108"/>
      <c r="O75" s="751"/>
      <c r="P75" s="691"/>
      <c r="Q75" s="691"/>
      <c r="R75" s="691"/>
      <c r="S75" s="691"/>
      <c r="T75" s="691"/>
      <c r="U75" s="691"/>
      <c r="V75" s="691"/>
      <c r="W75" s="691"/>
      <c r="X75" s="691"/>
      <c r="Y75" s="691"/>
    </row>
    <row r="76" spans="1:25" ht="21" hidden="1" customHeight="1">
      <c r="A76" s="762" t="s">
        <v>288</v>
      </c>
      <c r="B76" s="100"/>
      <c r="C76" s="100"/>
      <c r="D76" s="124"/>
      <c r="E76" s="108"/>
      <c r="F76" s="108"/>
      <c r="G76" s="108"/>
      <c r="H76" s="108"/>
      <c r="I76" s="252"/>
      <c r="J76" s="108"/>
      <c r="K76" s="108"/>
      <c r="L76" s="108"/>
      <c r="M76" s="108"/>
      <c r="N76" s="108"/>
      <c r="O76" s="751"/>
      <c r="P76" s="691"/>
      <c r="Q76" s="691"/>
      <c r="R76" s="691"/>
      <c r="S76" s="691"/>
      <c r="T76" s="691"/>
      <c r="U76" s="691"/>
      <c r="V76" s="691"/>
      <c r="W76" s="691"/>
      <c r="X76" s="691"/>
      <c r="Y76" s="691"/>
    </row>
    <row r="77" spans="1:25" ht="21" hidden="1" customHeight="1">
      <c r="A77" s="762" t="s">
        <v>245</v>
      </c>
      <c r="B77" s="100"/>
      <c r="C77" s="100"/>
      <c r="D77" s="124"/>
      <c r="E77" s="108">
        <v>10</v>
      </c>
      <c r="F77" s="108">
        <v>2</v>
      </c>
      <c r="G77" s="108"/>
      <c r="H77" s="108"/>
      <c r="I77" s="252"/>
      <c r="J77" s="252"/>
      <c r="K77" s="108"/>
      <c r="L77" s="108"/>
      <c r="M77" s="108"/>
      <c r="N77" s="108"/>
      <c r="O77" s="751"/>
      <c r="P77" s="691"/>
      <c r="Q77" s="691"/>
      <c r="R77" s="691"/>
      <c r="S77" s="691"/>
      <c r="T77" s="691"/>
      <c r="U77" s="691"/>
      <c r="V77" s="691"/>
      <c r="W77" s="691"/>
      <c r="X77" s="691"/>
      <c r="Y77" s="691"/>
    </row>
    <row r="78" spans="1:25" ht="21" hidden="1" customHeight="1">
      <c r="A78" s="762" t="s">
        <v>176</v>
      </c>
      <c r="B78" s="100"/>
      <c r="C78" s="100"/>
      <c r="D78" s="124"/>
      <c r="E78" s="108">
        <v>16</v>
      </c>
      <c r="F78" s="108">
        <v>1</v>
      </c>
      <c r="G78" s="108"/>
      <c r="H78" s="108"/>
      <c r="I78" s="252"/>
      <c r="J78" s="252"/>
      <c r="K78" s="108"/>
      <c r="L78" s="108"/>
      <c r="M78" s="108"/>
      <c r="N78" s="108"/>
      <c r="O78" s="751"/>
      <c r="P78" s="691"/>
      <c r="Q78" s="691"/>
      <c r="R78" s="691"/>
      <c r="S78" s="691"/>
      <c r="T78" s="691"/>
      <c r="U78" s="691"/>
      <c r="V78" s="691"/>
      <c r="W78" s="691"/>
      <c r="X78" s="691"/>
      <c r="Y78" s="691"/>
    </row>
    <row r="79" spans="1:25" ht="21" hidden="1" customHeight="1">
      <c r="A79" s="762" t="s">
        <v>246</v>
      </c>
      <c r="B79" s="100"/>
      <c r="C79" s="100"/>
      <c r="D79" s="124">
        <v>34</v>
      </c>
      <c r="E79" s="108">
        <v>32</v>
      </c>
      <c r="F79" s="108">
        <v>3</v>
      </c>
      <c r="G79" s="108"/>
      <c r="H79" s="108"/>
      <c r="I79" s="252"/>
      <c r="J79" s="252"/>
      <c r="K79" s="108"/>
      <c r="L79" s="108"/>
      <c r="M79" s="108"/>
      <c r="N79" s="108"/>
      <c r="O79" s="751"/>
      <c r="P79" s="691"/>
      <c r="Q79" s="691"/>
      <c r="R79" s="691"/>
      <c r="S79" s="691"/>
      <c r="T79" s="691"/>
      <c r="U79" s="691"/>
      <c r="V79" s="691"/>
      <c r="W79" s="691"/>
      <c r="X79" s="691"/>
      <c r="Y79" s="691"/>
    </row>
    <row r="80" spans="1:25" ht="21" customHeight="1">
      <c r="A80" s="762" t="s">
        <v>247</v>
      </c>
      <c r="B80" s="100">
        <v>63</v>
      </c>
      <c r="C80" s="100">
        <v>31</v>
      </c>
      <c r="D80" s="124">
        <v>42</v>
      </c>
      <c r="E80" s="108">
        <v>29</v>
      </c>
      <c r="F80" s="108">
        <v>5</v>
      </c>
      <c r="G80" s="108"/>
      <c r="H80" s="108"/>
      <c r="I80" s="252"/>
      <c r="J80" s="252"/>
      <c r="K80" s="108"/>
      <c r="L80" s="108"/>
      <c r="M80" s="108"/>
      <c r="N80" s="108"/>
      <c r="O80" s="751"/>
      <c r="P80" s="691"/>
      <c r="Q80" s="691"/>
      <c r="R80" s="691"/>
      <c r="S80" s="691"/>
      <c r="T80" s="691"/>
      <c r="U80" s="691"/>
      <c r="V80" s="691"/>
      <c r="W80" s="691"/>
      <c r="X80" s="691"/>
      <c r="Y80" s="691"/>
    </row>
    <row r="81" spans="1:25" ht="21" customHeight="1">
      <c r="A81" s="762" t="s">
        <v>248</v>
      </c>
      <c r="B81" s="100">
        <v>18</v>
      </c>
      <c r="C81" s="100">
        <v>10</v>
      </c>
      <c r="D81" s="124">
        <v>13</v>
      </c>
      <c r="E81" s="108">
        <v>17</v>
      </c>
      <c r="F81" s="108">
        <v>16</v>
      </c>
      <c r="G81" s="108"/>
      <c r="H81" s="108"/>
      <c r="I81" s="252"/>
      <c r="J81" s="252"/>
      <c r="K81" s="108"/>
      <c r="L81" s="108"/>
      <c r="M81" s="108"/>
      <c r="N81" s="108"/>
      <c r="O81" s="751"/>
      <c r="P81" s="691"/>
      <c r="Q81" s="691"/>
      <c r="R81" s="691"/>
      <c r="S81" s="691"/>
      <c r="T81" s="691"/>
      <c r="U81" s="691"/>
      <c r="V81" s="691"/>
      <c r="W81" s="691"/>
      <c r="X81" s="691"/>
      <c r="Y81" s="691"/>
    </row>
    <row r="82" spans="1:25" ht="21" hidden="1" customHeight="1">
      <c r="A82" s="762" t="s">
        <v>244</v>
      </c>
      <c r="B82" s="100"/>
      <c r="C82" s="100"/>
      <c r="D82" s="124">
        <v>19</v>
      </c>
      <c r="E82" s="108">
        <v>7</v>
      </c>
      <c r="F82" s="108">
        <v>1</v>
      </c>
      <c r="G82" s="108"/>
      <c r="H82" s="108"/>
      <c r="I82" s="252"/>
      <c r="J82" s="252"/>
      <c r="K82" s="108"/>
      <c r="L82" s="108"/>
      <c r="M82" s="108"/>
      <c r="N82" s="108"/>
      <c r="O82" s="751"/>
      <c r="P82" s="691"/>
      <c r="Q82" s="691"/>
      <c r="R82" s="691"/>
      <c r="S82" s="691"/>
      <c r="T82" s="691"/>
      <c r="U82" s="691"/>
      <c r="V82" s="691"/>
      <c r="W82" s="691"/>
      <c r="X82" s="691"/>
      <c r="Y82" s="691"/>
    </row>
    <row r="83" spans="1:25" ht="21" customHeight="1">
      <c r="A83" s="762" t="s">
        <v>370</v>
      </c>
      <c r="B83" s="100"/>
      <c r="C83" s="100"/>
      <c r="D83" s="124"/>
      <c r="E83" s="108"/>
      <c r="F83" s="108"/>
      <c r="G83" s="108"/>
      <c r="H83" s="108"/>
      <c r="I83" s="252"/>
      <c r="J83" s="252"/>
      <c r="K83" s="108"/>
      <c r="L83" s="108"/>
      <c r="M83" s="108"/>
      <c r="N83" s="108"/>
      <c r="O83" s="751"/>
      <c r="P83" s="691"/>
      <c r="Q83" s="691"/>
      <c r="R83" s="691"/>
      <c r="S83" s="691"/>
      <c r="T83" s="691"/>
      <c r="U83" s="691"/>
      <c r="V83" s="691"/>
      <c r="W83" s="691"/>
      <c r="X83" s="691"/>
      <c r="Y83" s="691"/>
    </row>
    <row r="84" spans="1:25" ht="21" customHeight="1">
      <c r="A84" s="762" t="s">
        <v>371</v>
      </c>
      <c r="B84" s="100"/>
      <c r="C84" s="100"/>
      <c r="D84" s="124"/>
      <c r="E84" s="108"/>
      <c r="F84" s="108"/>
      <c r="G84" s="108"/>
      <c r="H84" s="108"/>
      <c r="I84" s="252"/>
      <c r="J84" s="252"/>
      <c r="K84" s="108"/>
      <c r="L84" s="108"/>
      <c r="M84" s="108"/>
      <c r="N84" s="108"/>
      <c r="O84" s="751"/>
      <c r="P84" s="691"/>
      <c r="Q84" s="691"/>
      <c r="R84" s="691"/>
      <c r="S84" s="691"/>
      <c r="T84" s="691"/>
      <c r="U84" s="691"/>
      <c r="V84" s="691"/>
      <c r="W84" s="691"/>
      <c r="X84" s="691"/>
      <c r="Y84" s="691"/>
    </row>
    <row r="85" spans="1:25" ht="21" customHeight="1">
      <c r="A85" s="762" t="s">
        <v>372</v>
      </c>
      <c r="B85" s="100"/>
      <c r="C85" s="100"/>
      <c r="D85" s="124"/>
      <c r="E85" s="108"/>
      <c r="F85" s="108"/>
      <c r="G85" s="108"/>
      <c r="H85" s="108"/>
      <c r="I85" s="252"/>
      <c r="J85" s="252"/>
      <c r="K85" s="108"/>
      <c r="L85" s="108"/>
      <c r="M85" s="108"/>
      <c r="N85" s="108"/>
      <c r="O85" s="751"/>
      <c r="P85" s="691"/>
      <c r="Q85" s="691"/>
      <c r="R85" s="691"/>
      <c r="S85" s="691"/>
      <c r="T85" s="691"/>
      <c r="U85" s="691"/>
      <c r="V85" s="691"/>
      <c r="W85" s="691"/>
      <c r="X85" s="691"/>
      <c r="Y85" s="691"/>
    </row>
    <row r="86" spans="1:25" ht="21" customHeight="1">
      <c r="A86" s="764" t="s">
        <v>373</v>
      </c>
      <c r="B86" s="103"/>
      <c r="C86" s="103"/>
      <c r="D86" s="125"/>
      <c r="E86" s="111"/>
      <c r="F86" s="111"/>
      <c r="G86" s="111"/>
      <c r="H86" s="111"/>
      <c r="I86" s="107"/>
      <c r="J86" s="107"/>
      <c r="K86" s="111"/>
      <c r="L86" s="111"/>
      <c r="M86" s="111"/>
      <c r="N86" s="111"/>
      <c r="O86" s="753"/>
      <c r="P86" s="692"/>
      <c r="Q86" s="692"/>
      <c r="R86" s="692"/>
      <c r="S86" s="692"/>
      <c r="T86" s="692"/>
      <c r="U86" s="692"/>
      <c r="V86" s="692"/>
      <c r="W86" s="692"/>
      <c r="X86" s="692"/>
      <c r="Y86" s="692"/>
    </row>
    <row r="87" spans="1:25" ht="21" customHeight="1">
      <c r="A87" s="681" t="s">
        <v>396</v>
      </c>
      <c r="B87" s="100"/>
      <c r="C87" s="100"/>
      <c r="D87" s="124"/>
      <c r="E87" s="108"/>
      <c r="F87" s="108"/>
      <c r="G87" s="108"/>
      <c r="H87" s="108"/>
      <c r="I87" s="252"/>
      <c r="J87" s="252"/>
      <c r="K87" s="108"/>
      <c r="L87" s="108"/>
      <c r="M87" s="108"/>
      <c r="N87" s="108"/>
      <c r="O87" s="108"/>
      <c r="P87" s="691"/>
      <c r="Q87" s="691"/>
      <c r="R87" s="691"/>
      <c r="S87" s="691"/>
      <c r="T87" s="691"/>
      <c r="U87" s="691"/>
      <c r="V87" s="691"/>
      <c r="W87" s="691"/>
      <c r="X87" s="691"/>
      <c r="Y87" s="691"/>
    </row>
    <row r="88" spans="1:25" ht="21" customHeight="1">
      <c r="A88" s="681"/>
      <c r="B88" s="100"/>
      <c r="C88" s="100"/>
      <c r="D88" s="124"/>
      <c r="E88" s="108"/>
      <c r="F88" s="108"/>
      <c r="G88" s="108"/>
      <c r="H88" s="108"/>
      <c r="I88" s="252"/>
      <c r="J88" s="252"/>
      <c r="K88" s="108"/>
      <c r="L88" s="108"/>
      <c r="M88" s="108"/>
      <c r="N88" s="108"/>
      <c r="O88" s="108"/>
      <c r="P88" s="691"/>
      <c r="Q88" s="691"/>
      <c r="R88" s="691"/>
      <c r="S88" s="691"/>
      <c r="T88" s="691"/>
      <c r="U88" s="691"/>
      <c r="V88" s="691"/>
      <c r="W88" s="691"/>
      <c r="X88" s="691"/>
      <c r="Y88" s="691"/>
    </row>
    <row r="89" spans="1:25" ht="21" customHeight="1">
      <c r="A89" s="762"/>
      <c r="B89" s="100"/>
      <c r="C89" s="100"/>
      <c r="D89" s="124"/>
      <c r="E89" s="108"/>
      <c r="F89" s="108"/>
      <c r="G89" s="108"/>
      <c r="H89" s="108"/>
      <c r="I89" s="252"/>
      <c r="J89" s="252"/>
      <c r="K89" s="108"/>
      <c r="L89" s="108"/>
      <c r="M89" s="108"/>
      <c r="N89" s="108"/>
      <c r="O89" s="108"/>
      <c r="P89" s="691"/>
      <c r="Q89" s="691"/>
      <c r="R89" s="691"/>
      <c r="S89" s="691"/>
      <c r="T89" s="691"/>
      <c r="U89" s="691"/>
      <c r="V89" s="691"/>
      <c r="W89" s="691"/>
      <c r="X89" s="691"/>
      <c r="Y89" s="691"/>
    </row>
    <row r="90" spans="1:25" ht="21" customHeight="1">
      <c r="A90" s="762"/>
      <c r="B90" s="100"/>
      <c r="C90" s="100"/>
      <c r="D90" s="124"/>
      <c r="E90" s="108"/>
      <c r="F90" s="108"/>
      <c r="G90" s="108"/>
      <c r="H90" s="108"/>
      <c r="I90" s="252"/>
      <c r="J90" s="252"/>
      <c r="K90" s="108"/>
      <c r="L90" s="108"/>
      <c r="M90" s="108"/>
      <c r="N90" s="108"/>
      <c r="O90" s="108"/>
      <c r="P90" s="691"/>
      <c r="Q90" s="691"/>
      <c r="R90" s="691"/>
      <c r="S90" s="691"/>
      <c r="T90" s="691"/>
      <c r="U90" s="691"/>
      <c r="V90" s="691"/>
      <c r="W90" s="691"/>
      <c r="X90" s="691"/>
      <c r="Y90" s="691"/>
    </row>
    <row r="91" spans="1:25" ht="21" customHeight="1">
      <c r="A91" s="763"/>
      <c r="B91" s="401"/>
      <c r="C91" s="401"/>
      <c r="D91" s="677"/>
      <c r="E91" s="670"/>
      <c r="F91" s="670"/>
      <c r="G91" s="670"/>
      <c r="H91" s="670"/>
      <c r="I91" s="668"/>
      <c r="J91" s="668"/>
      <c r="K91" s="670"/>
      <c r="L91" s="670"/>
      <c r="M91" s="670"/>
      <c r="N91" s="670"/>
      <c r="O91" s="670"/>
      <c r="P91" s="754"/>
      <c r="Q91" s="754"/>
      <c r="R91" s="754"/>
      <c r="S91" s="754"/>
      <c r="T91" s="754"/>
      <c r="U91" s="754"/>
      <c r="V91" s="754"/>
      <c r="W91" s="754"/>
      <c r="X91" s="754"/>
      <c r="Y91" s="754"/>
    </row>
    <row r="92" spans="1:25" ht="21" customHeight="1">
      <c r="A92" s="102" t="s">
        <v>217</v>
      </c>
      <c r="B92" s="110">
        <f t="shared" ref="B92:H92" si="14">SUM(B69:B86)</f>
        <v>272</v>
      </c>
      <c r="C92" s="110">
        <f t="shared" si="14"/>
        <v>188</v>
      </c>
      <c r="D92" s="110">
        <f t="shared" si="14"/>
        <v>185</v>
      </c>
      <c r="E92" s="110">
        <f t="shared" si="14"/>
        <v>183</v>
      </c>
      <c r="F92" s="110">
        <f t="shared" si="14"/>
        <v>46</v>
      </c>
      <c r="G92" s="110">
        <f t="shared" si="14"/>
        <v>0</v>
      </c>
      <c r="H92" s="110">
        <f t="shared" si="14"/>
        <v>0</v>
      </c>
      <c r="I92" s="110"/>
      <c r="J92" s="110">
        <f t="shared" ref="J92:Y92" si="15">SUM(J69:J86)</f>
        <v>0</v>
      </c>
      <c r="K92" s="110">
        <f t="shared" si="15"/>
        <v>0</v>
      </c>
      <c r="L92" s="110">
        <f t="shared" si="15"/>
        <v>0</v>
      </c>
      <c r="M92" s="110">
        <f t="shared" si="15"/>
        <v>0</v>
      </c>
      <c r="N92" s="110">
        <f t="shared" si="15"/>
        <v>0</v>
      </c>
      <c r="O92" s="110">
        <f t="shared" si="15"/>
        <v>0</v>
      </c>
      <c r="P92" s="110">
        <f t="shared" si="15"/>
        <v>0</v>
      </c>
      <c r="Q92" s="110">
        <f t="shared" si="15"/>
        <v>0</v>
      </c>
      <c r="R92" s="110">
        <f t="shared" si="15"/>
        <v>0</v>
      </c>
      <c r="S92" s="110">
        <f t="shared" si="15"/>
        <v>0</v>
      </c>
      <c r="T92" s="110">
        <f t="shared" si="15"/>
        <v>0</v>
      </c>
      <c r="U92" s="110">
        <f t="shared" si="15"/>
        <v>0</v>
      </c>
      <c r="V92" s="110">
        <f t="shared" si="15"/>
        <v>0</v>
      </c>
      <c r="W92" s="110">
        <f t="shared" si="15"/>
        <v>0</v>
      </c>
      <c r="X92" s="110">
        <f t="shared" si="15"/>
        <v>0</v>
      </c>
      <c r="Y92" s="110">
        <f t="shared" si="15"/>
        <v>0</v>
      </c>
    </row>
    <row r="93" spans="1:25" ht="21" hidden="1" customHeight="1">
      <c r="A93" s="259" t="s">
        <v>249</v>
      </c>
      <c r="B93" s="259"/>
      <c r="C93" s="259"/>
      <c r="D93" s="260"/>
      <c r="E93" s="114"/>
      <c r="F93" s="114"/>
      <c r="G93" s="114"/>
      <c r="H93" s="114"/>
      <c r="I93" s="254">
        <f>SUM(B93:H93)</f>
        <v>0</v>
      </c>
      <c r="J93" s="161"/>
      <c r="K93" s="161"/>
      <c r="L93" s="161"/>
      <c r="M93" s="161"/>
      <c r="N93" s="161"/>
      <c r="O93" s="161"/>
      <c r="P93" s="693"/>
      <c r="Q93" s="693"/>
      <c r="R93" s="693"/>
      <c r="S93" s="693"/>
      <c r="T93" s="693"/>
      <c r="U93" s="693"/>
      <c r="V93" s="693"/>
      <c r="W93" s="693"/>
      <c r="X93" s="693"/>
      <c r="Y93" s="693"/>
    </row>
    <row r="94" spans="1:25" ht="21" hidden="1" customHeight="1">
      <c r="A94" s="398" t="s">
        <v>297</v>
      </c>
      <c r="B94" s="398"/>
      <c r="C94" s="398">
        <v>8</v>
      </c>
      <c r="D94" s="675">
        <v>9</v>
      </c>
      <c r="E94" s="664"/>
      <c r="F94" s="664"/>
      <c r="G94" s="664"/>
      <c r="H94" s="664"/>
      <c r="I94" s="662">
        <f t="shared" ref="I94:I95" si="16">SUM(B94:H94)</f>
        <v>17</v>
      </c>
      <c r="J94" s="662"/>
      <c r="K94" s="664"/>
      <c r="L94" s="664"/>
      <c r="M94" s="664"/>
      <c r="N94" s="664"/>
      <c r="O94" s="750"/>
      <c r="P94" s="691"/>
      <c r="Q94" s="691"/>
      <c r="R94" s="691"/>
      <c r="S94" s="691"/>
      <c r="T94" s="691"/>
      <c r="U94" s="691"/>
      <c r="V94" s="691"/>
      <c r="W94" s="691"/>
      <c r="X94" s="691"/>
      <c r="Y94" s="691"/>
    </row>
    <row r="95" spans="1:25" ht="21" hidden="1" customHeight="1">
      <c r="A95" s="100" t="s">
        <v>296</v>
      </c>
      <c r="B95" s="100"/>
      <c r="C95" s="100">
        <v>27</v>
      </c>
      <c r="D95" s="124">
        <v>5</v>
      </c>
      <c r="E95" s="108">
        <v>1</v>
      </c>
      <c r="F95" s="108"/>
      <c r="G95" s="108"/>
      <c r="H95" s="108"/>
      <c r="I95" s="252">
        <f t="shared" si="16"/>
        <v>33</v>
      </c>
      <c r="J95" s="252"/>
      <c r="K95" s="108"/>
      <c r="L95" s="108"/>
      <c r="M95" s="108"/>
      <c r="N95" s="108"/>
      <c r="O95" s="751"/>
      <c r="P95" s="691"/>
      <c r="Q95" s="691"/>
      <c r="R95" s="691"/>
      <c r="S95" s="691"/>
      <c r="T95" s="691"/>
      <c r="U95" s="691"/>
      <c r="V95" s="691"/>
      <c r="W95" s="691"/>
      <c r="X95" s="691"/>
      <c r="Y95" s="691"/>
    </row>
    <row r="96" spans="1:25" ht="21" customHeight="1">
      <c r="A96" s="100" t="s">
        <v>246</v>
      </c>
      <c r="B96" s="100"/>
      <c r="C96" s="100">
        <v>12</v>
      </c>
      <c r="D96" s="124">
        <v>2</v>
      </c>
      <c r="E96" s="108"/>
      <c r="F96" s="108"/>
      <c r="G96" s="108"/>
      <c r="H96" s="108"/>
      <c r="I96" s="252"/>
      <c r="J96" s="252"/>
      <c r="K96" s="108"/>
      <c r="L96" s="108"/>
      <c r="M96" s="108"/>
      <c r="N96" s="108"/>
      <c r="O96" s="751"/>
      <c r="P96" s="691"/>
      <c r="Q96" s="691"/>
      <c r="R96" s="691"/>
      <c r="S96" s="691"/>
      <c r="T96" s="691"/>
      <c r="U96" s="691"/>
      <c r="V96" s="691"/>
      <c r="W96" s="691"/>
      <c r="X96" s="691"/>
      <c r="Y96" s="691"/>
    </row>
    <row r="97" spans="1:25" ht="21" customHeight="1">
      <c r="A97" s="100" t="s">
        <v>250</v>
      </c>
      <c r="B97" s="100"/>
      <c r="C97" s="100"/>
      <c r="D97" s="124">
        <v>1</v>
      </c>
      <c r="E97" s="108"/>
      <c r="F97" s="108"/>
      <c r="G97" s="108"/>
      <c r="H97" s="108"/>
      <c r="I97" s="252"/>
      <c r="J97" s="252"/>
      <c r="K97" s="108"/>
      <c r="L97" s="108"/>
      <c r="M97" s="108"/>
      <c r="N97" s="108"/>
      <c r="O97" s="751"/>
      <c r="P97" s="691"/>
      <c r="Q97" s="691"/>
      <c r="R97" s="691"/>
      <c r="S97" s="691"/>
      <c r="T97" s="691"/>
      <c r="U97" s="691"/>
      <c r="V97" s="691"/>
      <c r="W97" s="691"/>
      <c r="X97" s="691"/>
      <c r="Y97" s="691"/>
    </row>
    <row r="98" spans="1:25" ht="21" customHeight="1">
      <c r="A98" s="100" t="s">
        <v>374</v>
      </c>
      <c r="B98" s="100"/>
      <c r="C98" s="100"/>
      <c r="D98" s="124"/>
      <c r="E98" s="108"/>
      <c r="F98" s="108"/>
      <c r="G98" s="108"/>
      <c r="H98" s="108"/>
      <c r="I98" s="252"/>
      <c r="J98" s="252"/>
      <c r="K98" s="108"/>
      <c r="L98" s="108"/>
      <c r="M98" s="108"/>
      <c r="N98" s="108"/>
      <c r="O98" s="751"/>
      <c r="P98" s="691"/>
      <c r="Q98" s="691"/>
      <c r="R98" s="691"/>
      <c r="S98" s="691"/>
      <c r="T98" s="691"/>
      <c r="U98" s="691"/>
      <c r="V98" s="691"/>
      <c r="W98" s="691"/>
      <c r="X98" s="691"/>
      <c r="Y98" s="691"/>
    </row>
    <row r="99" spans="1:25" ht="21" customHeight="1">
      <c r="A99" s="100" t="s">
        <v>375</v>
      </c>
      <c r="B99" s="100"/>
      <c r="C99" s="100"/>
      <c r="D99" s="124"/>
      <c r="E99" s="108"/>
      <c r="F99" s="108"/>
      <c r="G99" s="108"/>
      <c r="H99" s="108"/>
      <c r="I99" s="252"/>
      <c r="J99" s="252"/>
      <c r="K99" s="108"/>
      <c r="L99" s="108"/>
      <c r="M99" s="108"/>
      <c r="N99" s="108"/>
      <c r="O99" s="751"/>
      <c r="P99" s="691"/>
      <c r="Q99" s="691"/>
      <c r="R99" s="691"/>
      <c r="S99" s="691"/>
      <c r="T99" s="691"/>
      <c r="U99" s="691"/>
      <c r="V99" s="691"/>
      <c r="W99" s="691"/>
      <c r="X99" s="691"/>
      <c r="Y99" s="691"/>
    </row>
    <row r="100" spans="1:25" ht="21" customHeight="1">
      <c r="A100" s="100" t="s">
        <v>376</v>
      </c>
      <c r="B100" s="100"/>
      <c r="C100" s="100"/>
      <c r="D100" s="124"/>
      <c r="E100" s="108"/>
      <c r="F100" s="108"/>
      <c r="G100" s="108"/>
      <c r="H100" s="108"/>
      <c r="I100" s="252"/>
      <c r="J100" s="252"/>
      <c r="K100" s="108"/>
      <c r="L100" s="108"/>
      <c r="M100" s="108"/>
      <c r="N100" s="108"/>
      <c r="O100" s="751"/>
      <c r="P100" s="691"/>
      <c r="Q100" s="691"/>
      <c r="R100" s="691"/>
      <c r="S100" s="691"/>
      <c r="T100" s="691"/>
      <c r="U100" s="691"/>
      <c r="V100" s="691"/>
      <c r="W100" s="691"/>
      <c r="X100" s="691"/>
      <c r="Y100" s="691"/>
    </row>
    <row r="101" spans="1:25" ht="21" customHeight="1">
      <c r="A101" s="100" t="s">
        <v>377</v>
      </c>
      <c r="B101" s="100"/>
      <c r="C101" s="100"/>
      <c r="D101" s="124"/>
      <c r="E101" s="108"/>
      <c r="F101" s="108"/>
      <c r="G101" s="108"/>
      <c r="H101" s="108"/>
      <c r="I101" s="252"/>
      <c r="J101" s="252"/>
      <c r="K101" s="108"/>
      <c r="L101" s="108"/>
      <c r="M101" s="108"/>
      <c r="N101" s="108"/>
      <c r="O101" s="751"/>
      <c r="P101" s="691"/>
      <c r="Q101" s="691"/>
      <c r="R101" s="691"/>
      <c r="S101" s="691"/>
      <c r="T101" s="691"/>
      <c r="U101" s="691"/>
      <c r="V101" s="691"/>
      <c r="W101" s="691"/>
      <c r="X101" s="691"/>
      <c r="Y101" s="691"/>
    </row>
    <row r="102" spans="1:25" ht="21" customHeight="1">
      <c r="A102" s="100" t="s">
        <v>378</v>
      </c>
      <c r="B102" s="100"/>
      <c r="C102" s="100"/>
      <c r="D102" s="124"/>
      <c r="E102" s="108"/>
      <c r="F102" s="108"/>
      <c r="G102" s="108"/>
      <c r="H102" s="108"/>
      <c r="I102" s="252"/>
      <c r="J102" s="252"/>
      <c r="K102" s="108"/>
      <c r="L102" s="108"/>
      <c r="M102" s="108"/>
      <c r="N102" s="108"/>
      <c r="O102" s="751"/>
      <c r="P102" s="691"/>
      <c r="Q102" s="691"/>
      <c r="R102" s="691"/>
      <c r="S102" s="691"/>
      <c r="T102" s="691"/>
      <c r="U102" s="691"/>
      <c r="V102" s="691"/>
      <c r="W102" s="691"/>
      <c r="X102" s="691"/>
      <c r="Y102" s="691"/>
    </row>
    <row r="103" spans="1:25" ht="21" customHeight="1">
      <c r="A103" s="103" t="s">
        <v>379</v>
      </c>
      <c r="B103" s="103"/>
      <c r="C103" s="103"/>
      <c r="D103" s="125"/>
      <c r="E103" s="111"/>
      <c r="F103" s="111"/>
      <c r="G103" s="111"/>
      <c r="H103" s="111"/>
      <c r="I103" s="107"/>
      <c r="J103" s="107"/>
      <c r="K103" s="111"/>
      <c r="L103" s="111"/>
      <c r="M103" s="111"/>
      <c r="N103" s="111"/>
      <c r="O103" s="753"/>
      <c r="P103" s="692"/>
      <c r="Q103" s="692"/>
      <c r="R103" s="692"/>
      <c r="S103" s="692"/>
      <c r="T103" s="692"/>
      <c r="U103" s="692"/>
      <c r="V103" s="692"/>
      <c r="W103" s="692"/>
      <c r="X103" s="692"/>
      <c r="Y103" s="692"/>
    </row>
    <row r="104" spans="1:25" ht="21" customHeight="1">
      <c r="A104" s="103"/>
      <c r="B104" s="103"/>
      <c r="C104" s="103"/>
      <c r="D104" s="125"/>
      <c r="E104" s="111"/>
      <c r="F104" s="111"/>
      <c r="G104" s="111"/>
      <c r="H104" s="111"/>
      <c r="I104" s="107"/>
      <c r="J104" s="107"/>
      <c r="K104" s="111"/>
      <c r="L104" s="111"/>
      <c r="M104" s="111"/>
      <c r="N104" s="111"/>
      <c r="O104" s="753"/>
      <c r="P104" s="692"/>
      <c r="Q104" s="692"/>
      <c r="R104" s="692"/>
      <c r="S104" s="692"/>
      <c r="T104" s="692"/>
      <c r="U104" s="692"/>
      <c r="V104" s="692"/>
      <c r="W104" s="692"/>
      <c r="X104" s="692"/>
      <c r="Y104" s="692"/>
    </row>
    <row r="105" spans="1:25" ht="21" customHeight="1">
      <c r="A105" s="100"/>
      <c r="B105" s="100"/>
      <c r="C105" s="100"/>
      <c r="D105" s="124"/>
      <c r="E105" s="108"/>
      <c r="F105" s="108"/>
      <c r="G105" s="108"/>
      <c r="H105" s="108"/>
      <c r="I105" s="252"/>
      <c r="J105" s="252"/>
      <c r="K105" s="108"/>
      <c r="L105" s="108"/>
      <c r="M105" s="108"/>
      <c r="N105" s="108"/>
      <c r="O105" s="108"/>
      <c r="P105" s="691"/>
      <c r="Q105" s="691"/>
      <c r="R105" s="691"/>
      <c r="S105" s="691"/>
      <c r="T105" s="691"/>
      <c r="U105" s="691"/>
      <c r="V105" s="691"/>
      <c r="W105" s="691"/>
      <c r="X105" s="691"/>
      <c r="Y105" s="691"/>
    </row>
    <row r="106" spans="1:25" ht="21" customHeight="1">
      <c r="A106" s="401"/>
      <c r="B106" s="401"/>
      <c r="C106" s="401"/>
      <c r="D106" s="677"/>
      <c r="E106" s="670"/>
      <c r="F106" s="670"/>
      <c r="G106" s="670"/>
      <c r="H106" s="670"/>
      <c r="I106" s="668"/>
      <c r="J106" s="668"/>
      <c r="K106" s="670"/>
      <c r="L106" s="670"/>
      <c r="M106" s="670"/>
      <c r="N106" s="670"/>
      <c r="O106" s="670"/>
      <c r="P106" s="754"/>
      <c r="Q106" s="754"/>
      <c r="R106" s="754"/>
      <c r="S106" s="754"/>
      <c r="T106" s="754"/>
      <c r="U106" s="754"/>
      <c r="V106" s="754"/>
      <c r="W106" s="754"/>
      <c r="X106" s="754"/>
      <c r="Y106" s="754"/>
    </row>
    <row r="107" spans="1:25" ht="21" customHeight="1">
      <c r="A107" s="414" t="s">
        <v>219</v>
      </c>
      <c r="B107" s="719">
        <f t="shared" ref="B107:H107" si="17">SUM(B93:B97)</f>
        <v>0</v>
      </c>
      <c r="C107" s="719">
        <f t="shared" si="17"/>
        <v>47</v>
      </c>
      <c r="D107" s="719">
        <f t="shared" si="17"/>
        <v>17</v>
      </c>
      <c r="E107" s="719">
        <f t="shared" si="17"/>
        <v>1</v>
      </c>
      <c r="F107" s="719">
        <f t="shared" si="17"/>
        <v>0</v>
      </c>
      <c r="G107" s="719">
        <f t="shared" si="17"/>
        <v>0</v>
      </c>
      <c r="H107" s="719">
        <f t="shared" si="17"/>
        <v>0</v>
      </c>
      <c r="I107" s="719">
        <f t="shared" ref="I107:O107" si="18">SUM(I93:I106)</f>
        <v>50</v>
      </c>
      <c r="J107" s="719">
        <f t="shared" si="18"/>
        <v>0</v>
      </c>
      <c r="K107" s="719">
        <f t="shared" si="18"/>
        <v>0</v>
      </c>
      <c r="L107" s="719">
        <f t="shared" si="18"/>
        <v>0</v>
      </c>
      <c r="M107" s="719">
        <f t="shared" si="18"/>
        <v>0</v>
      </c>
      <c r="N107" s="719">
        <f t="shared" si="18"/>
        <v>0</v>
      </c>
      <c r="O107" s="719">
        <f t="shared" si="18"/>
        <v>0</v>
      </c>
      <c r="P107" s="719">
        <f t="shared" ref="P107:Y107" si="19">SUM(P93:P106)</f>
        <v>0</v>
      </c>
      <c r="Q107" s="719">
        <f t="shared" si="19"/>
        <v>0</v>
      </c>
      <c r="R107" s="719">
        <f t="shared" si="19"/>
        <v>0</v>
      </c>
      <c r="S107" s="719">
        <f t="shared" si="19"/>
        <v>0</v>
      </c>
      <c r="T107" s="719">
        <f t="shared" si="19"/>
        <v>0</v>
      </c>
      <c r="U107" s="719">
        <f t="shared" si="19"/>
        <v>0</v>
      </c>
      <c r="V107" s="719">
        <f t="shared" si="19"/>
        <v>0</v>
      </c>
      <c r="W107" s="719">
        <f t="shared" si="19"/>
        <v>0</v>
      </c>
      <c r="X107" s="719">
        <f t="shared" si="19"/>
        <v>0</v>
      </c>
      <c r="Y107" s="719">
        <f t="shared" si="19"/>
        <v>0</v>
      </c>
    </row>
    <row r="108" spans="1:25" ht="21" customHeight="1">
      <c r="A108" s="101" t="s">
        <v>16</v>
      </c>
      <c r="B108" s="110">
        <f>SUM(B109:B129)</f>
        <v>292</v>
      </c>
      <c r="C108" s="110">
        <f>SUM(C109:C129)</f>
        <v>113</v>
      </c>
      <c r="D108" s="110">
        <f t="shared" ref="D108:H108" si="20">SUM(D109:D129)</f>
        <v>243</v>
      </c>
      <c r="E108" s="110">
        <f t="shared" si="20"/>
        <v>166</v>
      </c>
      <c r="F108" s="110">
        <f t="shared" si="20"/>
        <v>31</v>
      </c>
      <c r="G108" s="110">
        <f t="shared" si="20"/>
        <v>0</v>
      </c>
      <c r="H108" s="110">
        <f t="shared" si="20"/>
        <v>0</v>
      </c>
      <c r="I108" s="110"/>
      <c r="J108" s="110">
        <f>SUM(J109:J129)</f>
        <v>0</v>
      </c>
      <c r="K108" s="110">
        <f t="shared" ref="K108:Y108" si="21">SUM(K109:K129)</f>
        <v>0</v>
      </c>
      <c r="L108" s="110">
        <f t="shared" si="21"/>
        <v>0</v>
      </c>
      <c r="M108" s="110">
        <f t="shared" si="21"/>
        <v>0</v>
      </c>
      <c r="N108" s="110">
        <f t="shared" si="21"/>
        <v>0</v>
      </c>
      <c r="O108" s="110">
        <f t="shared" si="21"/>
        <v>0</v>
      </c>
      <c r="P108" s="110">
        <f t="shared" si="21"/>
        <v>0</v>
      </c>
      <c r="Q108" s="110">
        <f t="shared" si="21"/>
        <v>0</v>
      </c>
      <c r="R108" s="110">
        <f t="shared" si="21"/>
        <v>0</v>
      </c>
      <c r="S108" s="110">
        <f t="shared" si="21"/>
        <v>0</v>
      </c>
      <c r="T108" s="110">
        <f t="shared" si="21"/>
        <v>0</v>
      </c>
      <c r="U108" s="110">
        <f t="shared" si="21"/>
        <v>0</v>
      </c>
      <c r="V108" s="110">
        <f t="shared" si="21"/>
        <v>0</v>
      </c>
      <c r="W108" s="110">
        <f t="shared" si="21"/>
        <v>0</v>
      </c>
      <c r="X108" s="110">
        <f t="shared" si="21"/>
        <v>0</v>
      </c>
      <c r="Y108" s="110">
        <f t="shared" si="21"/>
        <v>0</v>
      </c>
    </row>
    <row r="109" spans="1:25" ht="21" hidden="1" customHeight="1">
      <c r="A109" s="99" t="s">
        <v>17</v>
      </c>
      <c r="B109" s="99"/>
      <c r="C109" s="99"/>
      <c r="D109" s="123">
        <v>109</v>
      </c>
      <c r="E109" s="109">
        <v>84</v>
      </c>
      <c r="F109" s="109">
        <v>13</v>
      </c>
      <c r="G109" s="109"/>
      <c r="H109" s="109"/>
      <c r="I109" s="716">
        <f>SUM(B109:H109)</f>
        <v>206</v>
      </c>
      <c r="J109" s="716">
        <f>B109</f>
        <v>0</v>
      </c>
      <c r="K109" s="109">
        <v>0</v>
      </c>
      <c r="L109" s="109">
        <v>0</v>
      </c>
      <c r="M109" s="109">
        <v>0</v>
      </c>
      <c r="N109" s="109">
        <v>0</v>
      </c>
      <c r="O109" s="752">
        <v>0</v>
      </c>
      <c r="P109" s="693"/>
      <c r="Q109" s="693"/>
      <c r="R109" s="693"/>
      <c r="S109" s="693"/>
      <c r="T109" s="693"/>
      <c r="U109" s="693"/>
      <c r="V109" s="693"/>
      <c r="W109" s="693"/>
      <c r="X109" s="693"/>
      <c r="Y109" s="693"/>
    </row>
    <row r="110" spans="1:25" ht="21" hidden="1" customHeight="1">
      <c r="A110" s="100" t="s">
        <v>101</v>
      </c>
      <c r="B110" s="100"/>
      <c r="C110" s="100"/>
      <c r="D110" s="124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751"/>
      <c r="P110" s="691"/>
      <c r="Q110" s="691"/>
      <c r="R110" s="691"/>
      <c r="S110" s="691"/>
      <c r="T110" s="691"/>
      <c r="U110" s="691"/>
      <c r="V110" s="691"/>
      <c r="W110" s="691"/>
      <c r="X110" s="691"/>
      <c r="Y110" s="691"/>
    </row>
    <row r="111" spans="1:25" ht="21" hidden="1" customHeight="1">
      <c r="A111" s="100" t="s">
        <v>102</v>
      </c>
      <c r="B111" s="100"/>
      <c r="C111" s="100"/>
      <c r="D111" s="124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751"/>
      <c r="P111" s="691"/>
      <c r="Q111" s="691"/>
      <c r="R111" s="691"/>
      <c r="S111" s="691"/>
      <c r="T111" s="691"/>
      <c r="U111" s="691"/>
      <c r="V111" s="691"/>
      <c r="W111" s="691"/>
      <c r="X111" s="691"/>
      <c r="Y111" s="691"/>
    </row>
    <row r="112" spans="1:25" ht="21" hidden="1" customHeight="1">
      <c r="A112" s="100" t="s">
        <v>103</v>
      </c>
      <c r="B112" s="100"/>
      <c r="C112" s="100"/>
      <c r="D112" s="124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751"/>
      <c r="P112" s="691"/>
      <c r="Q112" s="691"/>
      <c r="R112" s="691"/>
      <c r="S112" s="691"/>
      <c r="T112" s="691"/>
      <c r="U112" s="691"/>
      <c r="V112" s="691"/>
      <c r="W112" s="691"/>
      <c r="X112" s="691"/>
      <c r="Y112" s="691"/>
    </row>
    <row r="113" spans="1:25" ht="21" hidden="1" customHeight="1">
      <c r="A113" s="100" t="s">
        <v>104</v>
      </c>
      <c r="B113" s="100"/>
      <c r="C113" s="100"/>
      <c r="D113" s="124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751"/>
      <c r="P113" s="691"/>
      <c r="Q113" s="691"/>
      <c r="R113" s="691"/>
      <c r="S113" s="691"/>
      <c r="T113" s="691"/>
      <c r="U113" s="691"/>
      <c r="V113" s="691"/>
      <c r="W113" s="691"/>
      <c r="X113" s="691"/>
      <c r="Y113" s="691"/>
    </row>
    <row r="114" spans="1:25" ht="21" hidden="1" customHeight="1">
      <c r="A114" s="100" t="s">
        <v>105</v>
      </c>
      <c r="B114" s="100"/>
      <c r="C114" s="100"/>
      <c r="D114" s="124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751"/>
      <c r="P114" s="691"/>
      <c r="Q114" s="691"/>
      <c r="R114" s="691"/>
      <c r="S114" s="691"/>
      <c r="T114" s="691"/>
      <c r="U114" s="691"/>
      <c r="V114" s="691"/>
      <c r="W114" s="691"/>
      <c r="X114" s="691"/>
      <c r="Y114" s="691"/>
    </row>
    <row r="115" spans="1:25" ht="21" hidden="1" customHeight="1">
      <c r="A115" s="100" t="s">
        <v>119</v>
      </c>
      <c r="B115" s="100"/>
      <c r="C115" s="100"/>
      <c r="D115" s="124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751"/>
      <c r="P115" s="691"/>
      <c r="Q115" s="691"/>
      <c r="R115" s="691"/>
      <c r="S115" s="691"/>
      <c r="T115" s="691"/>
      <c r="U115" s="691"/>
      <c r="V115" s="691"/>
      <c r="W115" s="691"/>
      <c r="X115" s="691"/>
      <c r="Y115" s="691"/>
    </row>
    <row r="116" spans="1:25" ht="21" hidden="1" customHeight="1">
      <c r="A116" s="100" t="s">
        <v>89</v>
      </c>
      <c r="B116" s="100"/>
      <c r="C116" s="100"/>
      <c r="D116" s="124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751"/>
      <c r="P116" s="691"/>
      <c r="Q116" s="691"/>
      <c r="R116" s="691"/>
      <c r="S116" s="691"/>
      <c r="T116" s="691"/>
      <c r="U116" s="691"/>
      <c r="V116" s="691"/>
      <c r="W116" s="691"/>
      <c r="X116" s="691"/>
      <c r="Y116" s="691"/>
    </row>
    <row r="117" spans="1:25" ht="21" hidden="1" customHeight="1">
      <c r="A117" s="308" t="s">
        <v>271</v>
      </c>
      <c r="B117" s="308"/>
      <c r="C117" s="100"/>
      <c r="D117" s="124"/>
      <c r="E117" s="108"/>
      <c r="F117" s="108"/>
      <c r="G117" s="108"/>
      <c r="H117" s="108"/>
      <c r="I117" s="108">
        <f t="shared" ref="I117:I120" si="22">SUM(C117:H117)</f>
        <v>0</v>
      </c>
      <c r="J117" s="108"/>
      <c r="K117" s="108"/>
      <c r="L117" s="108"/>
      <c r="M117" s="108"/>
      <c r="N117" s="108"/>
      <c r="O117" s="751"/>
      <c r="P117" s="691"/>
      <c r="Q117" s="691"/>
      <c r="R117" s="691"/>
      <c r="S117" s="691"/>
      <c r="T117" s="691"/>
      <c r="U117" s="691"/>
      <c r="V117" s="691"/>
      <c r="W117" s="691"/>
      <c r="X117" s="691"/>
      <c r="Y117" s="691"/>
    </row>
    <row r="118" spans="1:25" ht="21" hidden="1" customHeight="1">
      <c r="A118" s="308" t="s">
        <v>272</v>
      </c>
      <c r="B118" s="308"/>
      <c r="C118" s="100"/>
      <c r="D118" s="124"/>
      <c r="E118" s="108"/>
      <c r="F118" s="108"/>
      <c r="G118" s="108"/>
      <c r="H118" s="108"/>
      <c r="I118" s="108">
        <f t="shared" si="22"/>
        <v>0</v>
      </c>
      <c r="J118" s="108"/>
      <c r="K118" s="108"/>
      <c r="L118" s="108"/>
      <c r="M118" s="108"/>
      <c r="N118" s="108"/>
      <c r="O118" s="751"/>
      <c r="P118" s="691"/>
      <c r="Q118" s="691"/>
      <c r="R118" s="691"/>
      <c r="S118" s="691"/>
      <c r="T118" s="691"/>
      <c r="U118" s="691"/>
      <c r="V118" s="691"/>
      <c r="W118" s="691"/>
      <c r="X118" s="691"/>
      <c r="Y118" s="691"/>
    </row>
    <row r="119" spans="1:25" ht="21" hidden="1" customHeight="1">
      <c r="A119" s="308" t="s">
        <v>273</v>
      </c>
      <c r="B119" s="308"/>
      <c r="C119" s="100"/>
      <c r="D119" s="124"/>
      <c r="E119" s="108"/>
      <c r="F119" s="108"/>
      <c r="G119" s="108"/>
      <c r="H119" s="108"/>
      <c r="I119" s="108">
        <f t="shared" si="22"/>
        <v>0</v>
      </c>
      <c r="J119" s="108"/>
      <c r="K119" s="108"/>
      <c r="L119" s="108"/>
      <c r="M119" s="108"/>
      <c r="N119" s="108"/>
      <c r="O119" s="751"/>
      <c r="P119" s="691"/>
      <c r="Q119" s="691"/>
      <c r="R119" s="691"/>
      <c r="S119" s="691"/>
      <c r="T119" s="691"/>
      <c r="U119" s="691"/>
      <c r="V119" s="691"/>
      <c r="W119" s="691"/>
      <c r="X119" s="691"/>
      <c r="Y119" s="691"/>
    </row>
    <row r="120" spans="1:25" ht="21" hidden="1" customHeight="1">
      <c r="A120" s="308" t="s">
        <v>274</v>
      </c>
      <c r="B120" s="308"/>
      <c r="C120" s="100"/>
      <c r="D120" s="124"/>
      <c r="E120" s="108"/>
      <c r="F120" s="108"/>
      <c r="G120" s="108"/>
      <c r="H120" s="108"/>
      <c r="I120" s="108">
        <f t="shared" si="22"/>
        <v>0</v>
      </c>
      <c r="J120" s="108"/>
      <c r="K120" s="108"/>
      <c r="L120" s="108"/>
      <c r="M120" s="108"/>
      <c r="N120" s="108"/>
      <c r="O120" s="751"/>
      <c r="P120" s="691"/>
      <c r="Q120" s="691"/>
      <c r="R120" s="691"/>
      <c r="S120" s="691"/>
      <c r="T120" s="691"/>
      <c r="U120" s="691"/>
      <c r="V120" s="691"/>
      <c r="W120" s="691"/>
      <c r="X120" s="691"/>
      <c r="Y120" s="691"/>
    </row>
    <row r="121" spans="1:25" ht="21" customHeight="1">
      <c r="A121" s="100" t="s">
        <v>345</v>
      </c>
      <c r="B121" s="100">
        <v>40</v>
      </c>
      <c r="C121" s="100"/>
      <c r="D121" s="124"/>
      <c r="E121" s="108"/>
      <c r="F121" s="108"/>
      <c r="G121" s="108"/>
      <c r="H121" s="108"/>
      <c r="I121" s="252"/>
      <c r="J121" s="252"/>
      <c r="K121" s="108"/>
      <c r="L121" s="108"/>
      <c r="M121" s="108"/>
      <c r="N121" s="108"/>
      <c r="O121" s="751"/>
      <c r="P121" s="691"/>
      <c r="Q121" s="691"/>
      <c r="R121" s="691"/>
      <c r="S121" s="691"/>
      <c r="T121" s="691"/>
      <c r="U121" s="691"/>
      <c r="V121" s="691"/>
      <c r="W121" s="691"/>
      <c r="X121" s="691"/>
      <c r="Y121" s="691"/>
    </row>
    <row r="122" spans="1:25" ht="21" customHeight="1">
      <c r="A122" s="100" t="s">
        <v>307</v>
      </c>
      <c r="B122" s="100">
        <v>44</v>
      </c>
      <c r="C122" s="643"/>
      <c r="D122" s="124"/>
      <c r="E122" s="108"/>
      <c r="F122" s="108"/>
      <c r="G122" s="108"/>
      <c r="H122" s="108"/>
      <c r="I122" s="252"/>
      <c r="J122" s="252"/>
      <c r="K122" s="108"/>
      <c r="L122" s="108"/>
      <c r="M122" s="108"/>
      <c r="N122" s="108"/>
      <c r="O122" s="751"/>
      <c r="P122" s="691"/>
      <c r="Q122" s="691"/>
      <c r="R122" s="691"/>
      <c r="S122" s="691"/>
      <c r="T122" s="691"/>
      <c r="U122" s="691"/>
      <c r="V122" s="691"/>
      <c r="W122" s="691"/>
      <c r="X122" s="691"/>
      <c r="Y122" s="691"/>
    </row>
    <row r="123" spans="1:25" ht="21" customHeight="1">
      <c r="A123" s="100" t="s">
        <v>308</v>
      </c>
      <c r="B123" s="100">
        <v>98</v>
      </c>
      <c r="C123" s="100"/>
      <c r="D123" s="124"/>
      <c r="E123" s="108"/>
      <c r="F123" s="108"/>
      <c r="G123" s="108"/>
      <c r="H123" s="108"/>
      <c r="I123" s="252"/>
      <c r="J123" s="252"/>
      <c r="K123" s="108"/>
      <c r="L123" s="108"/>
      <c r="M123" s="108"/>
      <c r="N123" s="108"/>
      <c r="O123" s="751"/>
      <c r="P123" s="691"/>
      <c r="Q123" s="691"/>
      <c r="R123" s="691"/>
      <c r="S123" s="691"/>
      <c r="T123" s="691"/>
      <c r="U123" s="691"/>
      <c r="V123" s="691"/>
      <c r="W123" s="691"/>
      <c r="X123" s="691"/>
      <c r="Y123" s="691"/>
    </row>
    <row r="124" spans="1:25" ht="21" customHeight="1">
      <c r="A124" s="100" t="s">
        <v>38</v>
      </c>
      <c r="B124" s="100">
        <v>52</v>
      </c>
      <c r="C124" s="100">
        <v>47</v>
      </c>
      <c r="D124" s="124">
        <v>46</v>
      </c>
      <c r="E124" s="108">
        <v>43</v>
      </c>
      <c r="F124" s="108">
        <v>7</v>
      </c>
      <c r="G124" s="108"/>
      <c r="H124" s="108"/>
      <c r="I124" s="252"/>
      <c r="J124" s="252"/>
      <c r="K124" s="108"/>
      <c r="L124" s="108"/>
      <c r="M124" s="108"/>
      <c r="N124" s="108"/>
      <c r="O124" s="751"/>
      <c r="P124" s="691"/>
      <c r="Q124" s="691"/>
      <c r="R124" s="691"/>
      <c r="S124" s="691"/>
      <c r="T124" s="691"/>
      <c r="U124" s="691"/>
      <c r="V124" s="691"/>
      <c r="W124" s="691"/>
      <c r="X124" s="691"/>
      <c r="Y124" s="691"/>
    </row>
    <row r="125" spans="1:25" ht="21" customHeight="1">
      <c r="A125" s="100" t="s">
        <v>18</v>
      </c>
      <c r="B125" s="100">
        <v>30</v>
      </c>
      <c r="C125" s="100">
        <v>37</v>
      </c>
      <c r="D125" s="124">
        <v>40</v>
      </c>
      <c r="E125" s="108">
        <v>30</v>
      </c>
      <c r="F125" s="108">
        <v>9</v>
      </c>
      <c r="G125" s="108"/>
      <c r="H125" s="108"/>
      <c r="I125" s="252"/>
      <c r="J125" s="252"/>
      <c r="K125" s="108"/>
      <c r="L125" s="108"/>
      <c r="M125" s="108"/>
      <c r="N125" s="108"/>
      <c r="O125" s="751"/>
      <c r="P125" s="691"/>
      <c r="Q125" s="691"/>
      <c r="R125" s="691"/>
      <c r="S125" s="691"/>
      <c r="T125" s="691"/>
      <c r="U125" s="691"/>
      <c r="V125" s="691"/>
      <c r="W125" s="691"/>
      <c r="X125" s="691"/>
      <c r="Y125" s="691"/>
    </row>
    <row r="126" spans="1:25" ht="21" hidden="1" customHeight="1">
      <c r="A126" s="100" t="s">
        <v>106</v>
      </c>
      <c r="B126" s="100"/>
      <c r="C126" s="100"/>
      <c r="D126" s="124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751"/>
      <c r="P126" s="691"/>
      <c r="Q126" s="691"/>
      <c r="R126" s="691"/>
      <c r="S126" s="691"/>
      <c r="T126" s="691"/>
      <c r="U126" s="691"/>
      <c r="V126" s="691"/>
      <c r="W126" s="691"/>
      <c r="X126" s="691"/>
      <c r="Y126" s="691"/>
    </row>
    <row r="127" spans="1:25" ht="21" customHeight="1">
      <c r="A127" s="100" t="s">
        <v>169</v>
      </c>
      <c r="B127" s="100">
        <v>28</v>
      </c>
      <c r="C127" s="100">
        <v>29</v>
      </c>
      <c r="D127" s="124">
        <v>48</v>
      </c>
      <c r="E127" s="108">
        <v>9</v>
      </c>
      <c r="F127" s="108">
        <v>2</v>
      </c>
      <c r="G127" s="108"/>
      <c r="H127" s="108"/>
      <c r="I127" s="252"/>
      <c r="J127" s="252"/>
      <c r="K127" s="108"/>
      <c r="L127" s="108"/>
      <c r="M127" s="108"/>
      <c r="N127" s="108"/>
      <c r="O127" s="751"/>
      <c r="P127" s="691"/>
      <c r="Q127" s="691"/>
      <c r="R127" s="691"/>
      <c r="S127" s="691"/>
      <c r="T127" s="691"/>
      <c r="U127" s="691"/>
      <c r="V127" s="691"/>
      <c r="W127" s="691"/>
      <c r="X127" s="691"/>
      <c r="Y127" s="691"/>
    </row>
    <row r="128" spans="1:25" ht="21" hidden="1" customHeight="1">
      <c r="A128" s="259" t="s">
        <v>120</v>
      </c>
      <c r="B128" s="259"/>
      <c r="C128" s="259"/>
      <c r="D128" s="260"/>
      <c r="E128" s="114"/>
      <c r="F128" s="114"/>
      <c r="G128" s="114"/>
      <c r="H128" s="114"/>
      <c r="I128" s="114"/>
      <c r="J128" s="161"/>
      <c r="K128" s="161"/>
      <c r="L128" s="161"/>
      <c r="M128" s="161"/>
      <c r="N128" s="161"/>
      <c r="O128" s="161"/>
      <c r="P128" s="693"/>
      <c r="Q128" s="693"/>
      <c r="R128" s="693"/>
      <c r="S128" s="693"/>
      <c r="T128" s="693"/>
      <c r="U128" s="693"/>
      <c r="V128" s="693"/>
      <c r="W128" s="693"/>
      <c r="X128" s="693"/>
      <c r="Y128" s="693"/>
    </row>
    <row r="129" spans="1:25" ht="21" hidden="1" customHeight="1">
      <c r="A129" s="103" t="s">
        <v>107</v>
      </c>
      <c r="B129" s="103"/>
      <c r="C129" s="103"/>
      <c r="D129" s="125"/>
      <c r="E129" s="111"/>
      <c r="F129" s="111"/>
      <c r="G129" s="111"/>
      <c r="H129" s="111"/>
      <c r="I129" s="111"/>
      <c r="J129" s="161"/>
      <c r="K129" s="161"/>
      <c r="L129" s="161"/>
      <c r="M129" s="161"/>
      <c r="N129" s="161"/>
      <c r="O129" s="161"/>
      <c r="P129" s="691"/>
      <c r="Q129" s="691"/>
      <c r="R129" s="691"/>
      <c r="S129" s="691"/>
      <c r="T129" s="691"/>
      <c r="U129" s="691"/>
      <c r="V129" s="691"/>
      <c r="W129" s="691"/>
      <c r="X129" s="691"/>
      <c r="Y129" s="691"/>
    </row>
    <row r="130" spans="1:25" ht="21" hidden="1" customHeight="1">
      <c r="A130" s="671" t="s">
        <v>3</v>
      </c>
      <c r="B130" s="671"/>
      <c r="C130" s="671"/>
      <c r="D130" s="672"/>
      <c r="E130" s="673">
        <f>SUM(E109:E129)</f>
        <v>166</v>
      </c>
      <c r="F130" s="673">
        <f>SUM(F109:F129)</f>
        <v>31</v>
      </c>
      <c r="G130" s="673">
        <f>SUM(G109:G129)</f>
        <v>0</v>
      </c>
      <c r="H130" s="673">
        <f>SUM(H109:H129)</f>
        <v>0</v>
      </c>
      <c r="I130" s="673">
        <f>SUM(I109:I129)</f>
        <v>206</v>
      </c>
      <c r="J130" s="160"/>
      <c r="K130" s="160"/>
      <c r="L130" s="160"/>
      <c r="M130" s="160"/>
      <c r="N130" s="160"/>
      <c r="O130" s="160"/>
      <c r="P130" s="692"/>
      <c r="Q130" s="692"/>
      <c r="R130" s="692"/>
      <c r="S130" s="692"/>
      <c r="T130" s="692"/>
      <c r="U130" s="692"/>
      <c r="V130" s="692"/>
      <c r="W130" s="692"/>
      <c r="X130" s="692"/>
      <c r="Y130" s="692"/>
    </row>
    <row r="131" spans="1:25" ht="21" customHeight="1">
      <c r="A131" s="681" t="s">
        <v>396</v>
      </c>
      <c r="B131" s="679"/>
      <c r="C131" s="679"/>
      <c r="D131" s="765"/>
      <c r="E131" s="680"/>
      <c r="F131" s="680"/>
      <c r="G131" s="680"/>
      <c r="H131" s="680"/>
      <c r="I131" s="680"/>
      <c r="J131" s="680"/>
      <c r="K131" s="680"/>
      <c r="L131" s="680"/>
      <c r="M131" s="680"/>
      <c r="N131" s="680"/>
      <c r="O131" s="680"/>
      <c r="P131" s="691"/>
      <c r="Q131" s="691"/>
      <c r="R131" s="691"/>
      <c r="S131" s="691"/>
      <c r="T131" s="691"/>
      <c r="U131" s="691"/>
      <c r="V131" s="691"/>
      <c r="W131" s="691"/>
      <c r="X131" s="691"/>
      <c r="Y131" s="691"/>
    </row>
    <row r="132" spans="1:25" ht="21" customHeight="1">
      <c r="A132" s="679"/>
      <c r="B132" s="679"/>
      <c r="C132" s="679"/>
      <c r="D132" s="765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91"/>
      <c r="Q132" s="691"/>
      <c r="R132" s="691"/>
      <c r="S132" s="691"/>
      <c r="T132" s="691"/>
      <c r="U132" s="691"/>
      <c r="V132" s="691"/>
      <c r="W132" s="691"/>
      <c r="X132" s="691"/>
      <c r="Y132" s="691"/>
    </row>
    <row r="133" spans="1:25" ht="21" customHeight="1">
      <c r="A133" s="679"/>
      <c r="B133" s="679"/>
      <c r="C133" s="679"/>
      <c r="D133" s="765"/>
      <c r="E133" s="680"/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91"/>
      <c r="Q133" s="691"/>
      <c r="R133" s="691"/>
      <c r="S133" s="691"/>
      <c r="T133" s="691"/>
      <c r="U133" s="691"/>
      <c r="V133" s="691"/>
      <c r="W133" s="691"/>
      <c r="X133" s="691"/>
      <c r="Y133" s="691"/>
    </row>
    <row r="134" spans="1:25" ht="21" customHeight="1">
      <c r="A134" s="679"/>
      <c r="B134" s="679"/>
      <c r="C134" s="679"/>
      <c r="D134" s="765"/>
      <c r="E134" s="680"/>
      <c r="F134" s="680"/>
      <c r="G134" s="680"/>
      <c r="H134" s="680"/>
      <c r="I134" s="680"/>
      <c r="J134" s="680"/>
      <c r="K134" s="680"/>
      <c r="L134" s="680"/>
      <c r="M134" s="680"/>
      <c r="N134" s="680"/>
      <c r="O134" s="680"/>
      <c r="P134" s="691"/>
      <c r="Q134" s="691"/>
      <c r="R134" s="691"/>
      <c r="S134" s="691"/>
      <c r="T134" s="691"/>
      <c r="U134" s="691"/>
      <c r="V134" s="691"/>
      <c r="W134" s="691"/>
      <c r="X134" s="691"/>
      <c r="Y134" s="691"/>
    </row>
    <row r="135" spans="1:25" ht="21" customHeight="1">
      <c r="A135" s="679"/>
      <c r="B135" s="679"/>
      <c r="C135" s="679"/>
      <c r="D135" s="765"/>
      <c r="E135" s="680"/>
      <c r="F135" s="680"/>
      <c r="G135" s="680"/>
      <c r="H135" s="680"/>
      <c r="I135" s="680"/>
      <c r="J135" s="680"/>
      <c r="K135" s="680"/>
      <c r="L135" s="680"/>
      <c r="M135" s="680"/>
      <c r="N135" s="680"/>
      <c r="O135" s="680"/>
      <c r="P135" s="691"/>
      <c r="Q135" s="691"/>
      <c r="R135" s="691"/>
      <c r="S135" s="691"/>
      <c r="T135" s="691"/>
      <c r="U135" s="691"/>
      <c r="V135" s="691"/>
      <c r="W135" s="691"/>
      <c r="X135" s="691"/>
      <c r="Y135" s="691"/>
    </row>
    <row r="136" spans="1:25" ht="21" customHeight="1">
      <c r="A136" s="679"/>
      <c r="B136" s="679"/>
      <c r="C136" s="679"/>
      <c r="D136" s="765"/>
      <c r="E136" s="680"/>
      <c r="F136" s="680"/>
      <c r="G136" s="680"/>
      <c r="H136" s="680"/>
      <c r="I136" s="680"/>
      <c r="J136" s="680"/>
      <c r="K136" s="680"/>
      <c r="L136" s="680"/>
      <c r="M136" s="680"/>
      <c r="N136" s="680"/>
      <c r="O136" s="680"/>
      <c r="P136" s="691"/>
      <c r="Q136" s="691"/>
      <c r="R136" s="691"/>
      <c r="S136" s="691"/>
      <c r="T136" s="691"/>
      <c r="U136" s="691"/>
      <c r="V136" s="691"/>
      <c r="W136" s="691"/>
      <c r="X136" s="691"/>
      <c r="Y136" s="691"/>
    </row>
    <row r="137" spans="1:25" ht="21" customHeight="1">
      <c r="A137" s="679"/>
      <c r="B137" s="679"/>
      <c r="C137" s="679"/>
      <c r="D137" s="765"/>
      <c r="E137" s="680"/>
      <c r="F137" s="680"/>
      <c r="G137" s="680"/>
      <c r="H137" s="680"/>
      <c r="I137" s="680"/>
      <c r="J137" s="680"/>
      <c r="K137" s="680"/>
      <c r="L137" s="680"/>
      <c r="M137" s="680"/>
      <c r="N137" s="680"/>
      <c r="O137" s="680"/>
      <c r="P137" s="691"/>
      <c r="Q137" s="691"/>
      <c r="R137" s="691"/>
      <c r="S137" s="691"/>
      <c r="T137" s="691"/>
      <c r="U137" s="691"/>
      <c r="V137" s="691"/>
      <c r="W137" s="691"/>
      <c r="X137" s="691"/>
      <c r="Y137" s="691"/>
    </row>
    <row r="138" spans="1:25" ht="21" customHeight="1">
      <c r="A138" s="679"/>
      <c r="B138" s="679"/>
      <c r="C138" s="679"/>
      <c r="D138" s="765"/>
      <c r="E138" s="680"/>
      <c r="F138" s="680"/>
      <c r="G138" s="680"/>
      <c r="H138" s="680"/>
      <c r="I138" s="680"/>
      <c r="J138" s="680"/>
      <c r="K138" s="680"/>
      <c r="L138" s="680"/>
      <c r="M138" s="680"/>
      <c r="N138" s="680"/>
      <c r="O138" s="680"/>
      <c r="P138" s="691"/>
      <c r="Q138" s="691"/>
      <c r="R138" s="691"/>
      <c r="S138" s="691"/>
      <c r="T138" s="691"/>
      <c r="U138" s="691"/>
      <c r="V138" s="691"/>
      <c r="W138" s="691"/>
      <c r="X138" s="691"/>
      <c r="Y138" s="691"/>
    </row>
    <row r="139" spans="1:25" ht="21" customHeight="1">
      <c r="A139" s="679"/>
      <c r="B139" s="679"/>
      <c r="C139" s="679"/>
      <c r="D139" s="765"/>
      <c r="E139" s="680"/>
      <c r="F139" s="680"/>
      <c r="G139" s="680"/>
      <c r="H139" s="680"/>
      <c r="I139" s="680"/>
      <c r="J139" s="680"/>
      <c r="K139" s="680"/>
      <c r="L139" s="680"/>
      <c r="M139" s="680"/>
      <c r="N139" s="680"/>
      <c r="O139" s="680"/>
      <c r="P139" s="691"/>
      <c r="Q139" s="691"/>
      <c r="R139" s="691"/>
      <c r="S139" s="691"/>
      <c r="T139" s="691"/>
      <c r="U139" s="691"/>
      <c r="V139" s="691"/>
      <c r="W139" s="691"/>
      <c r="X139" s="691"/>
      <c r="Y139" s="691"/>
    </row>
    <row r="140" spans="1:25" ht="21" customHeight="1">
      <c r="A140" s="679"/>
      <c r="B140" s="679"/>
      <c r="C140" s="679"/>
      <c r="D140" s="765"/>
      <c r="E140" s="680"/>
      <c r="F140" s="680"/>
      <c r="G140" s="680"/>
      <c r="H140" s="680"/>
      <c r="I140" s="680"/>
      <c r="J140" s="680"/>
      <c r="K140" s="680"/>
      <c r="L140" s="680"/>
      <c r="M140" s="680"/>
      <c r="N140" s="680"/>
      <c r="O140" s="680"/>
      <c r="P140" s="691"/>
      <c r="Q140" s="691"/>
      <c r="R140" s="691"/>
      <c r="S140" s="691"/>
      <c r="T140" s="691"/>
      <c r="U140" s="691"/>
      <c r="V140" s="691"/>
      <c r="W140" s="691"/>
      <c r="X140" s="691"/>
      <c r="Y140" s="691"/>
    </row>
    <row r="141" spans="1:25" ht="21" customHeight="1">
      <c r="A141" s="682"/>
      <c r="B141" s="682"/>
      <c r="C141" s="682"/>
      <c r="D141" s="766"/>
      <c r="E141" s="683"/>
      <c r="F141" s="683"/>
      <c r="G141" s="683"/>
      <c r="H141" s="683"/>
      <c r="I141" s="683"/>
      <c r="J141" s="683"/>
      <c r="K141" s="683"/>
      <c r="L141" s="683"/>
      <c r="M141" s="683"/>
      <c r="N141" s="683"/>
      <c r="O141" s="683"/>
      <c r="P141" s="754"/>
      <c r="Q141" s="754"/>
      <c r="R141" s="754"/>
      <c r="S141" s="754"/>
      <c r="T141" s="754"/>
      <c r="U141" s="754"/>
      <c r="V141" s="754"/>
      <c r="W141" s="754"/>
      <c r="X141" s="754"/>
      <c r="Y141" s="754"/>
    </row>
    <row r="142" spans="1:25" ht="21" customHeight="1">
      <c r="A142" s="101" t="s">
        <v>19</v>
      </c>
      <c r="B142" s="110">
        <f t="shared" ref="B142:I142" si="23">SUM(B143:B153)</f>
        <v>724</v>
      </c>
      <c r="C142" s="110">
        <f t="shared" si="23"/>
        <v>530</v>
      </c>
      <c r="D142" s="110">
        <f t="shared" si="23"/>
        <v>501</v>
      </c>
      <c r="E142" s="110">
        <f t="shared" si="23"/>
        <v>441</v>
      </c>
      <c r="F142" s="110">
        <f t="shared" si="23"/>
        <v>59</v>
      </c>
      <c r="G142" s="110">
        <f t="shared" si="23"/>
        <v>0</v>
      </c>
      <c r="H142" s="110">
        <f t="shared" si="23"/>
        <v>0</v>
      </c>
      <c r="I142" s="110">
        <f t="shared" si="23"/>
        <v>0</v>
      </c>
      <c r="J142" s="110">
        <f t="shared" ref="J142:Y142" si="24">SUM(J143:J153)</f>
        <v>0</v>
      </c>
      <c r="K142" s="110">
        <f t="shared" si="24"/>
        <v>0</v>
      </c>
      <c r="L142" s="110">
        <f t="shared" si="24"/>
        <v>0</v>
      </c>
      <c r="M142" s="110">
        <f t="shared" si="24"/>
        <v>0</v>
      </c>
      <c r="N142" s="110">
        <f t="shared" si="24"/>
        <v>0</v>
      </c>
      <c r="O142" s="110">
        <f t="shared" si="24"/>
        <v>0</v>
      </c>
      <c r="P142" s="110">
        <f t="shared" si="24"/>
        <v>0</v>
      </c>
      <c r="Q142" s="110">
        <f t="shared" si="24"/>
        <v>0</v>
      </c>
      <c r="R142" s="110">
        <f t="shared" si="24"/>
        <v>0</v>
      </c>
      <c r="S142" s="110">
        <f t="shared" si="24"/>
        <v>0</v>
      </c>
      <c r="T142" s="110">
        <f t="shared" si="24"/>
        <v>0</v>
      </c>
      <c r="U142" s="110">
        <f t="shared" si="24"/>
        <v>0</v>
      </c>
      <c r="V142" s="110">
        <f t="shared" si="24"/>
        <v>0</v>
      </c>
      <c r="W142" s="110">
        <f t="shared" si="24"/>
        <v>0</v>
      </c>
      <c r="X142" s="110">
        <f t="shared" si="24"/>
        <v>0</v>
      </c>
      <c r="Y142" s="110">
        <f t="shared" si="24"/>
        <v>0</v>
      </c>
    </row>
    <row r="143" spans="1:25" ht="21" customHeight="1">
      <c r="A143" s="398" t="s">
        <v>4</v>
      </c>
      <c r="B143" s="398">
        <v>56</v>
      </c>
      <c r="C143" s="383">
        <v>56</v>
      </c>
      <c r="D143" s="675">
        <v>55</v>
      </c>
      <c r="E143" s="664">
        <v>39</v>
      </c>
      <c r="F143" s="664">
        <v>10</v>
      </c>
      <c r="G143" s="664"/>
      <c r="H143" s="664"/>
      <c r="I143" s="662"/>
      <c r="J143" s="662"/>
      <c r="K143" s="664"/>
      <c r="L143" s="664"/>
      <c r="M143" s="664"/>
      <c r="N143" s="664"/>
      <c r="O143" s="664"/>
      <c r="P143" s="735"/>
      <c r="Q143" s="735"/>
      <c r="R143" s="735"/>
      <c r="S143" s="735"/>
      <c r="T143" s="735"/>
      <c r="U143" s="735"/>
      <c r="V143" s="735"/>
      <c r="W143" s="735"/>
      <c r="X143" s="735"/>
      <c r="Y143" s="735"/>
    </row>
    <row r="144" spans="1:25" ht="21" customHeight="1">
      <c r="A144" s="100" t="s">
        <v>214</v>
      </c>
      <c r="B144" s="100">
        <v>89</v>
      </c>
      <c r="C144" s="386">
        <v>54</v>
      </c>
      <c r="D144" s="124">
        <v>67</v>
      </c>
      <c r="E144" s="108">
        <v>46</v>
      </c>
      <c r="F144" s="108">
        <v>2</v>
      </c>
      <c r="G144" s="108"/>
      <c r="H144" s="108"/>
      <c r="I144" s="252"/>
      <c r="J144" s="252"/>
      <c r="K144" s="108"/>
      <c r="L144" s="108"/>
      <c r="M144" s="108"/>
      <c r="N144" s="108"/>
      <c r="O144" s="108"/>
      <c r="P144" s="691"/>
      <c r="Q144" s="691"/>
      <c r="R144" s="691"/>
      <c r="S144" s="691"/>
      <c r="T144" s="691"/>
      <c r="U144" s="691"/>
      <c r="V144" s="691"/>
      <c r="W144" s="691"/>
      <c r="X144" s="691"/>
      <c r="Y144" s="691"/>
    </row>
    <row r="145" spans="1:25" ht="21" customHeight="1">
      <c r="A145" s="100" t="s">
        <v>76</v>
      </c>
      <c r="B145" s="100">
        <v>79</v>
      </c>
      <c r="C145" s="386">
        <v>42</v>
      </c>
      <c r="D145" s="124">
        <v>34</v>
      </c>
      <c r="E145" s="108">
        <v>42</v>
      </c>
      <c r="F145" s="108">
        <v>2</v>
      </c>
      <c r="G145" s="108"/>
      <c r="H145" s="108"/>
      <c r="I145" s="252"/>
      <c r="J145" s="252"/>
      <c r="K145" s="108"/>
      <c r="L145" s="108"/>
      <c r="M145" s="108"/>
      <c r="N145" s="108"/>
      <c r="O145" s="108"/>
      <c r="P145" s="691"/>
      <c r="Q145" s="691"/>
      <c r="R145" s="691"/>
      <c r="S145" s="691"/>
      <c r="T145" s="691"/>
      <c r="U145" s="691"/>
      <c r="V145" s="691"/>
      <c r="W145" s="691"/>
      <c r="X145" s="691"/>
      <c r="Y145" s="691"/>
    </row>
    <row r="146" spans="1:25" ht="21" customHeight="1">
      <c r="A146" s="100" t="s">
        <v>21</v>
      </c>
      <c r="B146" s="100">
        <v>65</v>
      </c>
      <c r="C146" s="386">
        <v>49</v>
      </c>
      <c r="D146" s="124">
        <v>47</v>
      </c>
      <c r="E146" s="108">
        <v>28</v>
      </c>
      <c r="F146" s="108">
        <v>6</v>
      </c>
      <c r="G146" s="108"/>
      <c r="H146" s="108"/>
      <c r="I146" s="252"/>
      <c r="J146" s="252"/>
      <c r="K146" s="108"/>
      <c r="L146" s="108"/>
      <c r="M146" s="108"/>
      <c r="N146" s="108"/>
      <c r="O146" s="108"/>
      <c r="P146" s="691"/>
      <c r="Q146" s="691"/>
      <c r="R146" s="691"/>
      <c r="S146" s="691"/>
      <c r="T146" s="691"/>
      <c r="U146" s="691"/>
      <c r="V146" s="691"/>
      <c r="W146" s="691"/>
      <c r="X146" s="691"/>
      <c r="Y146" s="691"/>
    </row>
    <row r="147" spans="1:25" ht="21" customHeight="1">
      <c r="A147" s="100" t="s">
        <v>22</v>
      </c>
      <c r="B147" s="100">
        <v>102</v>
      </c>
      <c r="C147" s="386">
        <v>63</v>
      </c>
      <c r="D147" s="124">
        <v>40</v>
      </c>
      <c r="E147" s="108">
        <v>78</v>
      </c>
      <c r="F147" s="108">
        <v>7</v>
      </c>
      <c r="G147" s="108"/>
      <c r="H147" s="108"/>
      <c r="I147" s="252"/>
      <c r="J147" s="252"/>
      <c r="K147" s="108"/>
      <c r="L147" s="108"/>
      <c r="M147" s="108"/>
      <c r="N147" s="108"/>
      <c r="O147" s="108"/>
      <c r="P147" s="691"/>
      <c r="Q147" s="691"/>
      <c r="R147" s="691"/>
      <c r="S147" s="691"/>
      <c r="T147" s="691"/>
      <c r="U147" s="691"/>
      <c r="V147" s="691"/>
      <c r="W147" s="691"/>
      <c r="X147" s="691"/>
      <c r="Y147" s="691"/>
    </row>
    <row r="148" spans="1:25" ht="21" customHeight="1">
      <c r="A148" s="100" t="s">
        <v>81</v>
      </c>
      <c r="B148" s="100">
        <v>32</v>
      </c>
      <c r="C148" s="386">
        <v>23</v>
      </c>
      <c r="D148" s="124">
        <v>33</v>
      </c>
      <c r="E148" s="108">
        <v>28</v>
      </c>
      <c r="F148" s="108">
        <v>19</v>
      </c>
      <c r="G148" s="108"/>
      <c r="H148" s="108"/>
      <c r="I148" s="252"/>
      <c r="J148" s="252"/>
      <c r="K148" s="108"/>
      <c r="L148" s="108"/>
      <c r="M148" s="108"/>
      <c r="N148" s="108"/>
      <c r="O148" s="108"/>
      <c r="P148" s="691"/>
      <c r="Q148" s="691"/>
      <c r="R148" s="691"/>
      <c r="S148" s="691"/>
      <c r="T148" s="691"/>
      <c r="U148" s="691"/>
      <c r="V148" s="691"/>
      <c r="W148" s="691"/>
      <c r="X148" s="691"/>
      <c r="Y148" s="691"/>
    </row>
    <row r="149" spans="1:25" ht="21" customHeight="1">
      <c r="A149" s="100" t="s">
        <v>24</v>
      </c>
      <c r="B149" s="100">
        <v>38</v>
      </c>
      <c r="C149" s="386">
        <v>42</v>
      </c>
      <c r="D149" s="124">
        <v>49</v>
      </c>
      <c r="E149" s="108">
        <v>70</v>
      </c>
      <c r="F149" s="108"/>
      <c r="G149" s="108"/>
      <c r="H149" s="108"/>
      <c r="I149" s="252"/>
      <c r="J149" s="252"/>
      <c r="K149" s="108"/>
      <c r="L149" s="108"/>
      <c r="M149" s="108"/>
      <c r="N149" s="108"/>
      <c r="O149" s="108"/>
      <c r="P149" s="691"/>
      <c r="Q149" s="691"/>
      <c r="R149" s="691"/>
      <c r="S149" s="691"/>
      <c r="T149" s="691"/>
      <c r="U149" s="691"/>
      <c r="V149" s="691"/>
      <c r="W149" s="691"/>
      <c r="X149" s="691"/>
      <c r="Y149" s="691"/>
    </row>
    <row r="150" spans="1:25" ht="21" customHeight="1">
      <c r="A150" s="100" t="s">
        <v>299</v>
      </c>
      <c r="B150" s="100">
        <v>26</v>
      </c>
      <c r="C150" s="386">
        <v>27</v>
      </c>
      <c r="D150" s="124">
        <v>15</v>
      </c>
      <c r="E150" s="108"/>
      <c r="F150" s="108"/>
      <c r="G150" s="652"/>
      <c r="H150" s="108"/>
      <c r="I150" s="252"/>
      <c r="J150" s="252"/>
      <c r="K150" s="108"/>
      <c r="L150" s="108"/>
      <c r="M150" s="108"/>
      <c r="N150" s="108"/>
      <c r="O150" s="108"/>
      <c r="P150" s="691"/>
      <c r="Q150" s="691"/>
      <c r="R150" s="691"/>
      <c r="S150" s="691"/>
      <c r="T150" s="691"/>
      <c r="U150" s="691"/>
      <c r="V150" s="691"/>
      <c r="W150" s="691"/>
      <c r="X150" s="691"/>
      <c r="Y150" s="691"/>
    </row>
    <row r="151" spans="1:25" ht="21" customHeight="1">
      <c r="A151" s="100" t="s">
        <v>168</v>
      </c>
      <c r="B151" s="100">
        <v>75</v>
      </c>
      <c r="C151" s="386">
        <v>64</v>
      </c>
      <c r="D151" s="124">
        <v>64</v>
      </c>
      <c r="E151" s="108">
        <v>69</v>
      </c>
      <c r="F151" s="108">
        <v>6</v>
      </c>
      <c r="G151" s="108"/>
      <c r="H151" s="108"/>
      <c r="I151" s="252"/>
      <c r="J151" s="252"/>
      <c r="K151" s="108"/>
      <c r="L151" s="108"/>
      <c r="M151" s="108"/>
      <c r="N151" s="108"/>
      <c r="O151" s="108"/>
      <c r="P151" s="691"/>
      <c r="Q151" s="691"/>
      <c r="R151" s="691"/>
      <c r="S151" s="691"/>
      <c r="T151" s="691"/>
      <c r="U151" s="691"/>
      <c r="V151" s="691"/>
      <c r="W151" s="691"/>
      <c r="X151" s="691"/>
      <c r="Y151" s="691"/>
    </row>
    <row r="152" spans="1:25" ht="21" customHeight="1">
      <c r="A152" s="100" t="s">
        <v>275</v>
      </c>
      <c r="B152" s="100">
        <v>39</v>
      </c>
      <c r="C152" s="386">
        <v>36</v>
      </c>
      <c r="D152" s="124">
        <v>45</v>
      </c>
      <c r="E152" s="108"/>
      <c r="F152" s="108"/>
      <c r="G152" s="108"/>
      <c r="H152" s="108"/>
      <c r="I152" s="252"/>
      <c r="J152" s="252"/>
      <c r="K152" s="108"/>
      <c r="L152" s="108"/>
      <c r="M152" s="108"/>
      <c r="N152" s="108"/>
      <c r="O152" s="108"/>
      <c r="P152" s="691"/>
      <c r="Q152" s="691"/>
      <c r="R152" s="691"/>
      <c r="S152" s="691"/>
      <c r="T152" s="691"/>
      <c r="U152" s="691"/>
      <c r="V152" s="691"/>
      <c r="W152" s="691"/>
      <c r="X152" s="691"/>
      <c r="Y152" s="691"/>
    </row>
    <row r="153" spans="1:25" ht="21" customHeight="1">
      <c r="A153" s="100" t="s">
        <v>25</v>
      </c>
      <c r="B153" s="100">
        <v>123</v>
      </c>
      <c r="C153" s="386">
        <v>74</v>
      </c>
      <c r="D153" s="124">
        <v>52</v>
      </c>
      <c r="E153" s="108">
        <v>41</v>
      </c>
      <c r="F153" s="108">
        <v>7</v>
      </c>
      <c r="G153" s="108"/>
      <c r="H153" s="108"/>
      <c r="I153" s="252"/>
      <c r="J153" s="252"/>
      <c r="K153" s="108"/>
      <c r="L153" s="108"/>
      <c r="M153" s="108"/>
      <c r="N153" s="108"/>
      <c r="O153" s="108"/>
      <c r="P153" s="691"/>
      <c r="Q153" s="691"/>
      <c r="R153" s="691"/>
      <c r="S153" s="691"/>
      <c r="T153" s="691"/>
      <c r="U153" s="691"/>
      <c r="V153" s="691"/>
      <c r="W153" s="691"/>
      <c r="X153" s="691"/>
      <c r="Y153" s="691"/>
    </row>
    <row r="154" spans="1:25" ht="21" customHeight="1">
      <c r="A154" s="681" t="s">
        <v>396</v>
      </c>
      <c r="B154" s="100"/>
      <c r="C154" s="386"/>
      <c r="D154" s="124"/>
      <c r="E154" s="108"/>
      <c r="F154" s="108"/>
      <c r="G154" s="108"/>
      <c r="H154" s="108"/>
      <c r="I154" s="252"/>
      <c r="J154" s="252"/>
      <c r="K154" s="108"/>
      <c r="L154" s="108"/>
      <c r="M154" s="108"/>
      <c r="N154" s="108"/>
      <c r="O154" s="108"/>
      <c r="P154" s="691"/>
      <c r="Q154" s="691"/>
      <c r="R154" s="691"/>
      <c r="S154" s="691"/>
      <c r="T154" s="691"/>
      <c r="U154" s="691"/>
      <c r="V154" s="691"/>
      <c r="W154" s="691"/>
      <c r="X154" s="691"/>
      <c r="Y154" s="691"/>
    </row>
    <row r="155" spans="1:25" ht="21" customHeight="1">
      <c r="A155" s="681"/>
      <c r="B155" s="100"/>
      <c r="C155" s="386"/>
      <c r="D155" s="124"/>
      <c r="E155" s="108"/>
      <c r="F155" s="108"/>
      <c r="G155" s="108"/>
      <c r="H155" s="108"/>
      <c r="I155" s="252"/>
      <c r="J155" s="252"/>
      <c r="K155" s="108"/>
      <c r="L155" s="108"/>
      <c r="M155" s="108"/>
      <c r="N155" s="108"/>
      <c r="O155" s="108"/>
      <c r="P155" s="691"/>
      <c r="Q155" s="691"/>
      <c r="R155" s="691"/>
      <c r="S155" s="691"/>
      <c r="T155" s="691"/>
      <c r="U155" s="691"/>
      <c r="V155" s="691"/>
      <c r="W155" s="691"/>
      <c r="X155" s="691"/>
      <c r="Y155" s="691"/>
    </row>
    <row r="156" spans="1:25" ht="21" customHeight="1">
      <c r="A156" s="100"/>
      <c r="B156" s="100"/>
      <c r="C156" s="386"/>
      <c r="D156" s="124"/>
      <c r="E156" s="108"/>
      <c r="F156" s="108"/>
      <c r="G156" s="108"/>
      <c r="H156" s="108"/>
      <c r="I156" s="252"/>
      <c r="J156" s="252"/>
      <c r="K156" s="108"/>
      <c r="L156" s="108"/>
      <c r="M156" s="108"/>
      <c r="N156" s="108"/>
      <c r="O156" s="108"/>
      <c r="P156" s="691"/>
      <c r="Q156" s="691"/>
      <c r="R156" s="691"/>
      <c r="S156" s="691"/>
      <c r="T156" s="691"/>
      <c r="U156" s="691"/>
      <c r="V156" s="691"/>
      <c r="W156" s="691"/>
      <c r="X156" s="691"/>
      <c r="Y156" s="691"/>
    </row>
    <row r="157" spans="1:25" ht="21" customHeight="1">
      <c r="A157" s="100"/>
      <c r="B157" s="100"/>
      <c r="C157" s="386"/>
      <c r="D157" s="124"/>
      <c r="E157" s="108"/>
      <c r="F157" s="108"/>
      <c r="G157" s="108"/>
      <c r="H157" s="108"/>
      <c r="I157" s="252"/>
      <c r="J157" s="252"/>
      <c r="K157" s="108"/>
      <c r="L157" s="108"/>
      <c r="M157" s="108"/>
      <c r="N157" s="108"/>
      <c r="O157" s="108"/>
      <c r="P157" s="691"/>
      <c r="Q157" s="691"/>
      <c r="R157" s="691"/>
      <c r="S157" s="691"/>
      <c r="T157" s="691"/>
      <c r="U157" s="691"/>
      <c r="V157" s="691"/>
      <c r="W157" s="691"/>
      <c r="X157" s="691"/>
      <c r="Y157" s="691"/>
    </row>
    <row r="158" spans="1:25" ht="21" customHeight="1">
      <c r="A158" s="100"/>
      <c r="B158" s="100"/>
      <c r="C158" s="386"/>
      <c r="D158" s="124"/>
      <c r="E158" s="108"/>
      <c r="F158" s="108"/>
      <c r="G158" s="108"/>
      <c r="H158" s="108"/>
      <c r="I158" s="252"/>
      <c r="J158" s="252"/>
      <c r="K158" s="108"/>
      <c r="L158" s="108"/>
      <c r="M158" s="108"/>
      <c r="N158" s="108"/>
      <c r="O158" s="108"/>
      <c r="P158" s="691"/>
      <c r="Q158" s="691"/>
      <c r="R158" s="691"/>
      <c r="S158" s="691"/>
      <c r="T158" s="691"/>
      <c r="U158" s="691"/>
      <c r="V158" s="691"/>
      <c r="W158" s="691"/>
      <c r="X158" s="691"/>
      <c r="Y158" s="691"/>
    </row>
    <row r="159" spans="1:25" ht="21" customHeight="1">
      <c r="A159" s="100"/>
      <c r="B159" s="100"/>
      <c r="C159" s="386"/>
      <c r="D159" s="124"/>
      <c r="E159" s="108"/>
      <c r="F159" s="108"/>
      <c r="G159" s="108"/>
      <c r="H159" s="108"/>
      <c r="I159" s="252"/>
      <c r="J159" s="252"/>
      <c r="K159" s="108"/>
      <c r="L159" s="108"/>
      <c r="M159" s="108"/>
      <c r="N159" s="108"/>
      <c r="O159" s="108"/>
      <c r="P159" s="691"/>
      <c r="Q159" s="691"/>
      <c r="R159" s="691"/>
      <c r="S159" s="691"/>
      <c r="T159" s="691"/>
      <c r="U159" s="691"/>
      <c r="V159" s="691"/>
      <c r="W159" s="691"/>
      <c r="X159" s="691"/>
      <c r="Y159" s="691"/>
    </row>
    <row r="160" spans="1:25" ht="21" customHeight="1">
      <c r="A160" s="100"/>
      <c r="B160" s="100"/>
      <c r="C160" s="386"/>
      <c r="D160" s="124"/>
      <c r="E160" s="108"/>
      <c r="F160" s="108"/>
      <c r="G160" s="108"/>
      <c r="H160" s="108"/>
      <c r="I160" s="252"/>
      <c r="J160" s="252"/>
      <c r="K160" s="108"/>
      <c r="L160" s="108"/>
      <c r="M160" s="108"/>
      <c r="N160" s="108"/>
      <c r="O160" s="108"/>
      <c r="P160" s="691"/>
      <c r="Q160" s="691"/>
      <c r="R160" s="691"/>
      <c r="S160" s="691"/>
      <c r="T160" s="691"/>
      <c r="U160" s="691"/>
      <c r="V160" s="691"/>
      <c r="W160" s="691"/>
      <c r="X160" s="691"/>
      <c r="Y160" s="691"/>
    </row>
    <row r="161" spans="1:25" ht="21" customHeight="1">
      <c r="A161" s="100"/>
      <c r="B161" s="100"/>
      <c r="C161" s="386"/>
      <c r="D161" s="124"/>
      <c r="E161" s="108"/>
      <c r="F161" s="108"/>
      <c r="G161" s="108"/>
      <c r="H161" s="108"/>
      <c r="I161" s="252"/>
      <c r="J161" s="252"/>
      <c r="K161" s="108"/>
      <c r="L161" s="108"/>
      <c r="M161" s="108"/>
      <c r="N161" s="108"/>
      <c r="O161" s="108"/>
      <c r="P161" s="691"/>
      <c r="Q161" s="691"/>
      <c r="R161" s="691"/>
      <c r="S161" s="691"/>
      <c r="T161" s="691"/>
      <c r="U161" s="691"/>
      <c r="V161" s="691"/>
      <c r="W161" s="691"/>
      <c r="X161" s="691"/>
      <c r="Y161" s="691"/>
    </row>
    <row r="162" spans="1:25" ht="21" customHeight="1">
      <c r="A162" s="401"/>
      <c r="B162" s="401"/>
      <c r="C162" s="676"/>
      <c r="D162" s="677"/>
      <c r="E162" s="670"/>
      <c r="F162" s="670"/>
      <c r="G162" s="670"/>
      <c r="H162" s="670"/>
      <c r="I162" s="668"/>
      <c r="J162" s="668"/>
      <c r="K162" s="670"/>
      <c r="L162" s="670"/>
      <c r="M162" s="670"/>
      <c r="N162" s="670"/>
      <c r="O162" s="670"/>
      <c r="P162" s="754"/>
      <c r="Q162" s="754"/>
      <c r="R162" s="754"/>
      <c r="S162" s="754"/>
      <c r="T162" s="754"/>
      <c r="U162" s="754"/>
      <c r="V162" s="754"/>
      <c r="W162" s="754"/>
      <c r="X162" s="754"/>
      <c r="Y162" s="754"/>
    </row>
    <row r="163" spans="1:25" ht="21" customHeight="1">
      <c r="A163" s="414" t="s">
        <v>3</v>
      </c>
      <c r="B163" s="719">
        <f t="shared" ref="B163:Y163" si="25">SUM(B143:B153)</f>
        <v>724</v>
      </c>
      <c r="C163" s="719">
        <f t="shared" si="25"/>
        <v>530</v>
      </c>
      <c r="D163" s="719">
        <f t="shared" si="25"/>
        <v>501</v>
      </c>
      <c r="E163" s="719">
        <f t="shared" si="25"/>
        <v>441</v>
      </c>
      <c r="F163" s="719">
        <f t="shared" si="25"/>
        <v>59</v>
      </c>
      <c r="G163" s="719">
        <f t="shared" si="25"/>
        <v>0</v>
      </c>
      <c r="H163" s="719">
        <f t="shared" si="25"/>
        <v>0</v>
      </c>
      <c r="I163" s="719">
        <f t="shared" si="25"/>
        <v>0</v>
      </c>
      <c r="J163" s="719">
        <f t="shared" si="25"/>
        <v>0</v>
      </c>
      <c r="K163" s="719">
        <f t="shared" si="25"/>
        <v>0</v>
      </c>
      <c r="L163" s="719">
        <f t="shared" si="25"/>
        <v>0</v>
      </c>
      <c r="M163" s="719">
        <f t="shared" si="25"/>
        <v>0</v>
      </c>
      <c r="N163" s="719">
        <f t="shared" si="25"/>
        <v>0</v>
      </c>
      <c r="O163" s="756">
        <f t="shared" si="25"/>
        <v>0</v>
      </c>
      <c r="P163" s="756">
        <f t="shared" si="25"/>
        <v>0</v>
      </c>
      <c r="Q163" s="756">
        <f t="shared" si="25"/>
        <v>0</v>
      </c>
      <c r="R163" s="756">
        <f t="shared" si="25"/>
        <v>0</v>
      </c>
      <c r="S163" s="756">
        <f t="shared" si="25"/>
        <v>0</v>
      </c>
      <c r="T163" s="756">
        <f t="shared" si="25"/>
        <v>0</v>
      </c>
      <c r="U163" s="756">
        <f t="shared" si="25"/>
        <v>0</v>
      </c>
      <c r="V163" s="756">
        <f t="shared" si="25"/>
        <v>0</v>
      </c>
      <c r="W163" s="756">
        <f t="shared" si="25"/>
        <v>0</v>
      </c>
      <c r="X163" s="756">
        <f t="shared" si="25"/>
        <v>0</v>
      </c>
      <c r="Y163" s="756">
        <f t="shared" si="25"/>
        <v>0</v>
      </c>
    </row>
    <row r="164" spans="1:25" ht="21" customHeight="1">
      <c r="A164" s="101" t="s">
        <v>26</v>
      </c>
      <c r="B164" s="110">
        <f t="shared" ref="B164:H164" si="26">SUM(B188,B193,B197)</f>
        <v>905</v>
      </c>
      <c r="C164" s="110">
        <f t="shared" si="26"/>
        <v>734</v>
      </c>
      <c r="D164" s="110">
        <f t="shared" si="26"/>
        <v>597</v>
      </c>
      <c r="E164" s="110">
        <f t="shared" si="26"/>
        <v>463</v>
      </c>
      <c r="F164" s="110">
        <f t="shared" si="26"/>
        <v>42</v>
      </c>
      <c r="G164" s="110">
        <f t="shared" si="26"/>
        <v>0</v>
      </c>
      <c r="H164" s="110">
        <f t="shared" si="26"/>
        <v>0</v>
      </c>
      <c r="I164" s="110">
        <f>SUM(I188,I193,I197)</f>
        <v>0</v>
      </c>
      <c r="J164" s="110">
        <f>SUM(J188,J193,J197)</f>
        <v>0</v>
      </c>
      <c r="K164" s="110">
        <f t="shared" ref="K164:Y164" si="27">SUM(K188,K193,K197)</f>
        <v>0</v>
      </c>
      <c r="L164" s="110">
        <f t="shared" si="27"/>
        <v>0</v>
      </c>
      <c r="M164" s="110">
        <f t="shared" si="27"/>
        <v>0</v>
      </c>
      <c r="N164" s="110">
        <f t="shared" si="27"/>
        <v>0</v>
      </c>
      <c r="O164" s="110">
        <f t="shared" si="27"/>
        <v>0</v>
      </c>
      <c r="P164" s="110">
        <f t="shared" si="27"/>
        <v>0</v>
      </c>
      <c r="Q164" s="110">
        <f t="shared" si="27"/>
        <v>0</v>
      </c>
      <c r="R164" s="110">
        <f t="shared" si="27"/>
        <v>0</v>
      </c>
      <c r="S164" s="110">
        <f t="shared" si="27"/>
        <v>0</v>
      </c>
      <c r="T164" s="110">
        <f t="shared" si="27"/>
        <v>0</v>
      </c>
      <c r="U164" s="110">
        <f t="shared" si="27"/>
        <v>0</v>
      </c>
      <c r="V164" s="110">
        <f t="shared" si="27"/>
        <v>0</v>
      </c>
      <c r="W164" s="110">
        <f t="shared" si="27"/>
        <v>0</v>
      </c>
      <c r="X164" s="110">
        <f t="shared" si="27"/>
        <v>0</v>
      </c>
      <c r="Y164" s="110">
        <f t="shared" si="27"/>
        <v>0</v>
      </c>
    </row>
    <row r="165" spans="1:25" ht="21" customHeight="1">
      <c r="A165" s="398" t="s">
        <v>239</v>
      </c>
      <c r="B165" s="398">
        <v>48</v>
      </c>
      <c r="C165" s="398">
        <v>33</v>
      </c>
      <c r="D165" s="675">
        <v>35</v>
      </c>
      <c r="E165" s="664">
        <v>29</v>
      </c>
      <c r="F165" s="664"/>
      <c r="G165" s="664"/>
      <c r="H165" s="664"/>
      <c r="I165" s="662"/>
      <c r="J165" s="662"/>
      <c r="K165" s="664"/>
      <c r="L165" s="664"/>
      <c r="M165" s="664"/>
      <c r="N165" s="664"/>
      <c r="O165" s="664"/>
      <c r="P165" s="735"/>
      <c r="Q165" s="735"/>
      <c r="R165" s="735"/>
      <c r="S165" s="735"/>
      <c r="T165" s="735"/>
      <c r="U165" s="735"/>
      <c r="V165" s="735"/>
      <c r="W165" s="735"/>
      <c r="X165" s="735"/>
      <c r="Y165" s="735"/>
    </row>
    <row r="166" spans="1:25" ht="21" customHeight="1">
      <c r="A166" s="100" t="s">
        <v>79</v>
      </c>
      <c r="B166" s="100">
        <v>40</v>
      </c>
      <c r="C166" s="100">
        <v>32</v>
      </c>
      <c r="D166" s="124">
        <v>25</v>
      </c>
      <c r="E166" s="108">
        <v>26</v>
      </c>
      <c r="F166" s="108">
        <v>1</v>
      </c>
      <c r="G166" s="108"/>
      <c r="H166" s="108"/>
      <c r="I166" s="252"/>
      <c r="J166" s="252"/>
      <c r="K166" s="108"/>
      <c r="L166" s="108"/>
      <c r="M166" s="108"/>
      <c r="N166" s="108"/>
      <c r="O166" s="108"/>
      <c r="P166" s="691"/>
      <c r="Q166" s="691"/>
      <c r="R166" s="691"/>
      <c r="S166" s="691"/>
      <c r="T166" s="691"/>
      <c r="U166" s="691"/>
      <c r="V166" s="691"/>
      <c r="W166" s="691"/>
      <c r="X166" s="691"/>
      <c r="Y166" s="691"/>
    </row>
    <row r="167" spans="1:25" ht="21" customHeight="1">
      <c r="A167" s="100" t="s">
        <v>80</v>
      </c>
      <c r="B167" s="100">
        <v>193</v>
      </c>
      <c r="C167" s="100">
        <v>155</v>
      </c>
      <c r="D167" s="124">
        <v>193</v>
      </c>
      <c r="E167" s="108">
        <v>132</v>
      </c>
      <c r="F167" s="108">
        <v>13</v>
      </c>
      <c r="G167" s="108"/>
      <c r="H167" s="108"/>
      <c r="I167" s="252"/>
      <c r="J167" s="252"/>
      <c r="K167" s="108"/>
      <c r="L167" s="108"/>
      <c r="M167" s="108"/>
      <c r="N167" s="108"/>
      <c r="O167" s="108"/>
      <c r="P167" s="691"/>
      <c r="Q167" s="691"/>
      <c r="R167" s="691"/>
      <c r="S167" s="691"/>
      <c r="T167" s="691"/>
      <c r="U167" s="691"/>
      <c r="V167" s="691"/>
      <c r="W167" s="691"/>
      <c r="X167" s="691"/>
      <c r="Y167" s="691"/>
    </row>
    <row r="168" spans="1:25" ht="21" customHeight="1">
      <c r="A168" s="100" t="s">
        <v>314</v>
      </c>
      <c r="B168" s="100">
        <v>60</v>
      </c>
      <c r="C168" s="100">
        <v>46</v>
      </c>
      <c r="D168" s="124">
        <v>33</v>
      </c>
      <c r="E168" s="108">
        <v>35</v>
      </c>
      <c r="F168" s="108">
        <v>4</v>
      </c>
      <c r="G168" s="108"/>
      <c r="H168" s="108"/>
      <c r="I168" s="252"/>
      <c r="J168" s="252"/>
      <c r="K168" s="108"/>
      <c r="L168" s="108"/>
      <c r="M168" s="108"/>
      <c r="N168" s="108"/>
      <c r="O168" s="108"/>
      <c r="P168" s="691"/>
      <c r="Q168" s="691"/>
      <c r="R168" s="691"/>
      <c r="S168" s="691"/>
      <c r="T168" s="691"/>
      <c r="U168" s="691"/>
      <c r="V168" s="691"/>
      <c r="W168" s="691"/>
      <c r="X168" s="691"/>
      <c r="Y168" s="691"/>
    </row>
    <row r="169" spans="1:25" ht="21" customHeight="1">
      <c r="A169" s="100" t="s">
        <v>306</v>
      </c>
      <c r="B169" s="100">
        <v>39</v>
      </c>
      <c r="C169" s="100">
        <v>35</v>
      </c>
      <c r="D169" s="124"/>
      <c r="E169" s="108"/>
      <c r="F169" s="108"/>
      <c r="G169" s="108"/>
      <c r="H169" s="108"/>
      <c r="I169" s="252"/>
      <c r="J169" s="252"/>
      <c r="K169" s="108"/>
      <c r="L169" s="108"/>
      <c r="M169" s="108"/>
      <c r="N169" s="108"/>
      <c r="O169" s="108"/>
      <c r="P169" s="691"/>
      <c r="Q169" s="691"/>
      <c r="R169" s="691"/>
      <c r="S169" s="691"/>
      <c r="T169" s="691"/>
      <c r="U169" s="691"/>
      <c r="V169" s="691"/>
      <c r="W169" s="691"/>
      <c r="X169" s="691"/>
      <c r="Y169" s="691"/>
    </row>
    <row r="170" spans="1:25" ht="21" customHeight="1">
      <c r="A170" s="100" t="s">
        <v>31</v>
      </c>
      <c r="B170" s="100">
        <v>82</v>
      </c>
      <c r="C170" s="100">
        <v>70</v>
      </c>
      <c r="D170" s="124">
        <v>44</v>
      </c>
      <c r="E170" s="108">
        <v>53</v>
      </c>
      <c r="F170" s="108">
        <v>5</v>
      </c>
      <c r="G170" s="108"/>
      <c r="H170" s="108"/>
      <c r="I170" s="252"/>
      <c r="J170" s="252"/>
      <c r="K170" s="108"/>
      <c r="L170" s="108"/>
      <c r="M170" s="108"/>
      <c r="N170" s="108"/>
      <c r="O170" s="108"/>
      <c r="P170" s="691"/>
      <c r="Q170" s="691"/>
      <c r="R170" s="691"/>
      <c r="S170" s="691"/>
      <c r="T170" s="691"/>
      <c r="U170" s="691"/>
      <c r="V170" s="691"/>
      <c r="W170" s="691"/>
      <c r="X170" s="691"/>
      <c r="Y170" s="691"/>
    </row>
    <row r="171" spans="1:25" ht="21" customHeight="1">
      <c r="A171" s="100" t="s">
        <v>32</v>
      </c>
      <c r="B171" s="100"/>
      <c r="C171" s="100"/>
      <c r="D171" s="124">
        <v>41</v>
      </c>
      <c r="E171" s="108">
        <v>56</v>
      </c>
      <c r="F171" s="108">
        <v>1</v>
      </c>
      <c r="G171" s="108"/>
      <c r="H171" s="108"/>
      <c r="I171" s="252"/>
      <c r="J171" s="252"/>
      <c r="K171" s="108"/>
      <c r="L171" s="108"/>
      <c r="M171" s="108"/>
      <c r="N171" s="108"/>
      <c r="O171" s="108"/>
      <c r="P171" s="691"/>
      <c r="Q171" s="691"/>
      <c r="R171" s="691"/>
      <c r="S171" s="691"/>
      <c r="T171" s="691"/>
      <c r="U171" s="691"/>
      <c r="V171" s="691"/>
      <c r="W171" s="691"/>
      <c r="X171" s="691"/>
      <c r="Y171" s="691"/>
    </row>
    <row r="172" spans="1:25" ht="21" hidden="1" customHeight="1">
      <c r="A172" s="100" t="s">
        <v>117</v>
      </c>
      <c r="B172" s="100"/>
      <c r="C172" s="100"/>
      <c r="D172" s="124"/>
      <c r="E172" s="108"/>
      <c r="F172" s="108"/>
      <c r="G172" s="108"/>
      <c r="H172" s="108"/>
      <c r="I172" s="252"/>
      <c r="J172" s="252"/>
      <c r="K172" s="108"/>
      <c r="L172" s="108"/>
      <c r="M172" s="108"/>
      <c r="N172" s="108"/>
      <c r="O172" s="108"/>
      <c r="P172" s="691"/>
      <c r="Q172" s="691"/>
      <c r="R172" s="691"/>
      <c r="S172" s="691"/>
      <c r="T172" s="691"/>
      <c r="U172" s="691"/>
      <c r="V172" s="691"/>
      <c r="W172" s="691"/>
      <c r="X172" s="691"/>
      <c r="Y172" s="691"/>
    </row>
    <row r="173" spans="1:25" ht="21" customHeight="1">
      <c r="A173" s="100" t="s">
        <v>33</v>
      </c>
      <c r="B173" s="100"/>
      <c r="C173" s="100">
        <v>81</v>
      </c>
      <c r="D173" s="124">
        <v>28</v>
      </c>
      <c r="E173" s="108">
        <v>30</v>
      </c>
      <c r="F173" s="108">
        <v>10</v>
      </c>
      <c r="G173" s="108"/>
      <c r="H173" s="108"/>
      <c r="I173" s="252"/>
      <c r="J173" s="252"/>
      <c r="K173" s="108"/>
      <c r="L173" s="108"/>
      <c r="M173" s="108"/>
      <c r="N173" s="108"/>
      <c r="O173" s="108"/>
      <c r="P173" s="691"/>
      <c r="Q173" s="691"/>
      <c r="R173" s="691"/>
      <c r="S173" s="691"/>
      <c r="T173" s="691"/>
      <c r="U173" s="691"/>
      <c r="V173" s="691"/>
      <c r="W173" s="691"/>
      <c r="X173" s="691"/>
      <c r="Y173" s="691"/>
    </row>
    <row r="174" spans="1:25" ht="21" customHeight="1">
      <c r="A174" s="100" t="s">
        <v>133</v>
      </c>
      <c r="B174" s="100">
        <v>57</v>
      </c>
      <c r="C174" s="100">
        <v>43</v>
      </c>
      <c r="D174" s="262">
        <v>49</v>
      </c>
      <c r="E174" s="108">
        <v>31</v>
      </c>
      <c r="F174" s="108"/>
      <c r="G174" s="108"/>
      <c r="H174" s="108"/>
      <c r="I174" s="252"/>
      <c r="J174" s="252"/>
      <c r="K174" s="108"/>
      <c r="L174" s="108"/>
      <c r="M174" s="108"/>
      <c r="N174" s="108"/>
      <c r="O174" s="108"/>
      <c r="P174" s="691"/>
      <c r="Q174" s="691"/>
      <c r="R174" s="691"/>
      <c r="S174" s="691"/>
      <c r="T174" s="691"/>
      <c r="U174" s="691"/>
      <c r="V174" s="691"/>
      <c r="W174" s="691"/>
      <c r="X174" s="691"/>
      <c r="Y174" s="691"/>
    </row>
    <row r="175" spans="1:25" ht="21" customHeight="1">
      <c r="A175" s="100" t="s">
        <v>240</v>
      </c>
      <c r="B175" s="100">
        <v>143</v>
      </c>
      <c r="C175" s="100">
        <v>134</v>
      </c>
      <c r="D175" s="124">
        <v>82</v>
      </c>
      <c r="E175" s="108">
        <f>36+1</f>
        <v>37</v>
      </c>
      <c r="F175" s="108">
        <v>6</v>
      </c>
      <c r="G175" s="108"/>
      <c r="H175" s="108"/>
      <c r="I175" s="252"/>
      <c r="J175" s="252"/>
      <c r="K175" s="108"/>
      <c r="L175" s="108"/>
      <c r="M175" s="108"/>
      <c r="N175" s="108"/>
      <c r="O175" s="108"/>
      <c r="P175" s="691"/>
      <c r="Q175" s="691"/>
      <c r="R175" s="691"/>
      <c r="S175" s="691"/>
      <c r="T175" s="691"/>
      <c r="U175" s="691"/>
      <c r="V175" s="691"/>
      <c r="W175" s="691"/>
      <c r="X175" s="691"/>
      <c r="Y175" s="691"/>
    </row>
    <row r="176" spans="1:25" ht="21" customHeight="1">
      <c r="A176" s="100" t="s">
        <v>34</v>
      </c>
      <c r="B176" s="100">
        <v>128</v>
      </c>
      <c r="C176" s="100">
        <v>105</v>
      </c>
      <c r="D176" s="124">
        <v>67</v>
      </c>
      <c r="E176" s="108">
        <f>32+2</f>
        <v>34</v>
      </c>
      <c r="F176" s="108">
        <v>2</v>
      </c>
      <c r="G176" s="108"/>
      <c r="H176" s="108"/>
      <c r="I176" s="252"/>
      <c r="J176" s="252"/>
      <c r="K176" s="108"/>
      <c r="L176" s="108"/>
      <c r="M176" s="108"/>
      <c r="N176" s="108"/>
      <c r="O176" s="108"/>
      <c r="P176" s="691"/>
      <c r="Q176" s="691"/>
      <c r="R176" s="691"/>
      <c r="S176" s="691"/>
      <c r="T176" s="691"/>
      <c r="U176" s="691"/>
      <c r="V176" s="691"/>
      <c r="W176" s="691"/>
      <c r="X176" s="691"/>
      <c r="Y176" s="691"/>
    </row>
    <row r="177" spans="1:25" ht="21" customHeight="1">
      <c r="A177" s="100" t="s">
        <v>344</v>
      </c>
      <c r="B177" s="100">
        <v>115</v>
      </c>
      <c r="C177" s="100"/>
      <c r="D177" s="124"/>
      <c r="E177" s="108"/>
      <c r="F177" s="108"/>
      <c r="G177" s="108"/>
      <c r="H177" s="108"/>
      <c r="I177" s="252"/>
      <c r="J177" s="252"/>
      <c r="K177" s="108"/>
      <c r="L177" s="108"/>
      <c r="M177" s="108"/>
      <c r="N177" s="108"/>
      <c r="O177" s="108"/>
      <c r="P177" s="691"/>
      <c r="Q177" s="691"/>
      <c r="R177" s="691"/>
      <c r="S177" s="691"/>
      <c r="T177" s="691"/>
      <c r="U177" s="691"/>
      <c r="V177" s="691"/>
      <c r="W177" s="691"/>
      <c r="X177" s="691"/>
      <c r="Y177" s="691"/>
    </row>
    <row r="178" spans="1:25" ht="21" customHeight="1">
      <c r="A178" s="681" t="s">
        <v>396</v>
      </c>
      <c r="B178" s="100"/>
      <c r="C178" s="100"/>
      <c r="D178" s="124"/>
      <c r="E178" s="108"/>
      <c r="F178" s="108"/>
      <c r="G178" s="108"/>
      <c r="H178" s="108"/>
      <c r="I178" s="252"/>
      <c r="J178" s="252"/>
      <c r="K178" s="108"/>
      <c r="L178" s="108"/>
      <c r="M178" s="108"/>
      <c r="N178" s="108"/>
      <c r="O178" s="108"/>
      <c r="P178" s="691"/>
      <c r="Q178" s="691"/>
      <c r="R178" s="691"/>
      <c r="S178" s="691"/>
      <c r="T178" s="691"/>
      <c r="U178" s="691"/>
      <c r="V178" s="691"/>
      <c r="W178" s="691"/>
      <c r="X178" s="691"/>
      <c r="Y178" s="691"/>
    </row>
    <row r="179" spans="1:25" ht="21" customHeight="1">
      <c r="A179" s="681"/>
      <c r="B179" s="100"/>
      <c r="C179" s="100"/>
      <c r="D179" s="124"/>
      <c r="E179" s="108"/>
      <c r="F179" s="108"/>
      <c r="G179" s="108"/>
      <c r="H179" s="108"/>
      <c r="I179" s="252"/>
      <c r="J179" s="252"/>
      <c r="K179" s="108"/>
      <c r="L179" s="108"/>
      <c r="M179" s="108"/>
      <c r="N179" s="108"/>
      <c r="O179" s="108"/>
      <c r="P179" s="691"/>
      <c r="Q179" s="691"/>
      <c r="R179" s="691"/>
      <c r="S179" s="691"/>
      <c r="T179" s="691"/>
      <c r="U179" s="691"/>
      <c r="V179" s="691"/>
      <c r="W179" s="691"/>
      <c r="X179" s="691"/>
      <c r="Y179" s="691"/>
    </row>
    <row r="180" spans="1:25" ht="21" customHeight="1">
      <c r="A180" s="681"/>
      <c r="B180" s="100"/>
      <c r="C180" s="100"/>
      <c r="D180" s="124"/>
      <c r="E180" s="108"/>
      <c r="F180" s="108"/>
      <c r="G180" s="108"/>
      <c r="H180" s="108"/>
      <c r="I180" s="252"/>
      <c r="J180" s="252"/>
      <c r="K180" s="108"/>
      <c r="L180" s="108"/>
      <c r="M180" s="108"/>
      <c r="N180" s="108"/>
      <c r="O180" s="108"/>
      <c r="P180" s="691"/>
      <c r="Q180" s="691"/>
      <c r="R180" s="691"/>
      <c r="S180" s="691"/>
      <c r="T180" s="691"/>
      <c r="U180" s="691"/>
      <c r="V180" s="691"/>
      <c r="W180" s="691"/>
      <c r="X180" s="691"/>
      <c r="Y180" s="691"/>
    </row>
    <row r="181" spans="1:25" ht="21" customHeight="1">
      <c r="A181" s="681"/>
      <c r="B181" s="100"/>
      <c r="C181" s="100"/>
      <c r="D181" s="124"/>
      <c r="E181" s="108"/>
      <c r="F181" s="108"/>
      <c r="G181" s="108"/>
      <c r="H181" s="108"/>
      <c r="I181" s="252"/>
      <c r="J181" s="252"/>
      <c r="K181" s="108"/>
      <c r="L181" s="108"/>
      <c r="M181" s="108"/>
      <c r="N181" s="108"/>
      <c r="O181" s="108"/>
      <c r="P181" s="691"/>
      <c r="Q181" s="691"/>
      <c r="R181" s="691"/>
      <c r="S181" s="691"/>
      <c r="T181" s="691"/>
      <c r="U181" s="691"/>
      <c r="V181" s="691"/>
      <c r="W181" s="691"/>
      <c r="X181" s="691"/>
      <c r="Y181" s="691"/>
    </row>
    <row r="182" spans="1:25" ht="21" customHeight="1">
      <c r="A182" s="681"/>
      <c r="B182" s="100"/>
      <c r="C182" s="100"/>
      <c r="D182" s="124"/>
      <c r="E182" s="108"/>
      <c r="F182" s="108"/>
      <c r="G182" s="108"/>
      <c r="H182" s="108"/>
      <c r="I182" s="252"/>
      <c r="J182" s="252"/>
      <c r="K182" s="108"/>
      <c r="L182" s="108"/>
      <c r="M182" s="108"/>
      <c r="N182" s="108"/>
      <c r="O182" s="108"/>
      <c r="P182" s="691"/>
      <c r="Q182" s="691"/>
      <c r="R182" s="691"/>
      <c r="S182" s="691"/>
      <c r="T182" s="691"/>
      <c r="U182" s="691"/>
      <c r="V182" s="691"/>
      <c r="W182" s="691"/>
      <c r="X182" s="691"/>
      <c r="Y182" s="691"/>
    </row>
    <row r="183" spans="1:25" ht="21" customHeight="1">
      <c r="A183" s="681"/>
      <c r="B183" s="100"/>
      <c r="C183" s="100"/>
      <c r="D183" s="124"/>
      <c r="E183" s="108"/>
      <c r="F183" s="108"/>
      <c r="G183" s="108"/>
      <c r="H183" s="108"/>
      <c r="I183" s="252"/>
      <c r="J183" s="252"/>
      <c r="K183" s="108"/>
      <c r="L183" s="108"/>
      <c r="M183" s="108"/>
      <c r="N183" s="108"/>
      <c r="O183" s="108"/>
      <c r="P183" s="691"/>
      <c r="Q183" s="691"/>
      <c r="R183" s="691"/>
      <c r="S183" s="691"/>
      <c r="T183" s="691"/>
      <c r="U183" s="691"/>
      <c r="V183" s="691"/>
      <c r="W183" s="691"/>
      <c r="X183" s="691"/>
      <c r="Y183" s="691"/>
    </row>
    <row r="184" spans="1:25" ht="21" customHeight="1">
      <c r="A184" s="100"/>
      <c r="B184" s="100"/>
      <c r="C184" s="100"/>
      <c r="D184" s="124"/>
      <c r="E184" s="108"/>
      <c r="F184" s="108"/>
      <c r="G184" s="108"/>
      <c r="H184" s="108"/>
      <c r="I184" s="252"/>
      <c r="J184" s="252"/>
      <c r="K184" s="108"/>
      <c r="L184" s="108"/>
      <c r="M184" s="108"/>
      <c r="N184" s="108"/>
      <c r="O184" s="108"/>
      <c r="P184" s="691"/>
      <c r="Q184" s="691"/>
      <c r="R184" s="691"/>
      <c r="S184" s="691"/>
      <c r="T184" s="691"/>
      <c r="U184" s="691"/>
      <c r="V184" s="691"/>
      <c r="W184" s="691"/>
      <c r="X184" s="691"/>
      <c r="Y184" s="691"/>
    </row>
    <row r="185" spans="1:25" ht="21" customHeight="1">
      <c r="A185" s="100"/>
      <c r="B185" s="100"/>
      <c r="C185" s="100"/>
      <c r="D185" s="124"/>
      <c r="E185" s="108"/>
      <c r="F185" s="108"/>
      <c r="G185" s="108"/>
      <c r="H185" s="108"/>
      <c r="I185" s="252"/>
      <c r="J185" s="252"/>
      <c r="K185" s="108"/>
      <c r="L185" s="108"/>
      <c r="M185" s="108"/>
      <c r="N185" s="108"/>
      <c r="O185" s="108"/>
      <c r="P185" s="691"/>
      <c r="Q185" s="691"/>
      <c r="R185" s="691"/>
      <c r="S185" s="691"/>
      <c r="T185" s="691"/>
      <c r="U185" s="691"/>
      <c r="V185" s="691"/>
      <c r="W185" s="691"/>
      <c r="X185" s="691"/>
      <c r="Y185" s="691"/>
    </row>
    <row r="186" spans="1:25" ht="21" customHeight="1">
      <c r="A186" s="100"/>
      <c r="B186" s="100"/>
      <c r="C186" s="100"/>
      <c r="D186" s="124"/>
      <c r="E186" s="108"/>
      <c r="F186" s="108"/>
      <c r="G186" s="108"/>
      <c r="H186" s="108"/>
      <c r="I186" s="252"/>
      <c r="J186" s="252"/>
      <c r="K186" s="108"/>
      <c r="L186" s="108"/>
      <c r="M186" s="108"/>
      <c r="N186" s="108"/>
      <c r="O186" s="108"/>
      <c r="P186" s="691"/>
      <c r="Q186" s="691"/>
      <c r="R186" s="691"/>
      <c r="S186" s="691"/>
      <c r="T186" s="691"/>
      <c r="U186" s="691"/>
      <c r="V186" s="691"/>
      <c r="W186" s="691"/>
      <c r="X186" s="691"/>
      <c r="Y186" s="691"/>
    </row>
    <row r="187" spans="1:25" ht="21" customHeight="1">
      <c r="A187" s="401"/>
      <c r="B187" s="401"/>
      <c r="C187" s="401"/>
      <c r="D187" s="677"/>
      <c r="E187" s="670"/>
      <c r="F187" s="670"/>
      <c r="G187" s="670"/>
      <c r="H187" s="670"/>
      <c r="I187" s="668"/>
      <c r="J187" s="668"/>
      <c r="K187" s="670"/>
      <c r="L187" s="670"/>
      <c r="M187" s="670"/>
      <c r="N187" s="670"/>
      <c r="O187" s="670"/>
      <c r="P187" s="754"/>
      <c r="Q187" s="754"/>
      <c r="R187" s="754"/>
      <c r="S187" s="754"/>
      <c r="T187" s="754"/>
      <c r="U187" s="754"/>
      <c r="V187" s="754"/>
      <c r="W187" s="754"/>
      <c r="X187" s="754"/>
      <c r="Y187" s="754"/>
    </row>
    <row r="188" spans="1:25" ht="21" customHeight="1">
      <c r="A188" s="118" t="s">
        <v>161</v>
      </c>
      <c r="B188" s="110">
        <f t="shared" ref="B188:G188" si="28">SUM(B165:B177)</f>
        <v>905</v>
      </c>
      <c r="C188" s="110">
        <f t="shared" si="28"/>
        <v>734</v>
      </c>
      <c r="D188" s="110">
        <f t="shared" si="28"/>
        <v>597</v>
      </c>
      <c r="E188" s="110">
        <f t="shared" si="28"/>
        <v>463</v>
      </c>
      <c r="F188" s="110">
        <f t="shared" si="28"/>
        <v>42</v>
      </c>
      <c r="G188" s="110">
        <f t="shared" si="28"/>
        <v>0</v>
      </c>
      <c r="H188" s="110">
        <f>SUM(H165:H176)</f>
        <v>0</v>
      </c>
      <c r="I188" s="110">
        <f>SUM(I165:I177)</f>
        <v>0</v>
      </c>
      <c r="J188" s="110">
        <f>SUM(J165:J177)</f>
        <v>0</v>
      </c>
      <c r="K188" s="110">
        <f t="shared" ref="K188:Y188" si="29">SUM(K165:K177)</f>
        <v>0</v>
      </c>
      <c r="L188" s="110">
        <f t="shared" si="29"/>
        <v>0</v>
      </c>
      <c r="M188" s="110">
        <f t="shared" si="29"/>
        <v>0</v>
      </c>
      <c r="N188" s="110">
        <f t="shared" si="29"/>
        <v>0</v>
      </c>
      <c r="O188" s="110">
        <f t="shared" si="29"/>
        <v>0</v>
      </c>
      <c r="P188" s="110">
        <f t="shared" si="29"/>
        <v>0</v>
      </c>
      <c r="Q188" s="110">
        <f t="shared" si="29"/>
        <v>0</v>
      </c>
      <c r="R188" s="110">
        <f t="shared" si="29"/>
        <v>0</v>
      </c>
      <c r="S188" s="110">
        <f t="shared" si="29"/>
        <v>0</v>
      </c>
      <c r="T188" s="110">
        <f t="shared" si="29"/>
        <v>0</v>
      </c>
      <c r="U188" s="110">
        <f t="shared" si="29"/>
        <v>0</v>
      </c>
      <c r="V188" s="110">
        <f t="shared" si="29"/>
        <v>0</v>
      </c>
      <c r="W188" s="110">
        <f t="shared" si="29"/>
        <v>0</v>
      </c>
      <c r="X188" s="110">
        <f t="shared" si="29"/>
        <v>0</v>
      </c>
      <c r="Y188" s="110">
        <f t="shared" si="29"/>
        <v>0</v>
      </c>
    </row>
    <row r="189" spans="1:25" ht="21" hidden="1" customHeight="1">
      <c r="A189" s="99" t="s">
        <v>154</v>
      </c>
      <c r="B189" s="99"/>
      <c r="C189" s="99"/>
      <c r="D189" s="123"/>
      <c r="E189" s="109"/>
      <c r="F189" s="109"/>
      <c r="G189" s="109"/>
      <c r="H189" s="109"/>
      <c r="I189" s="109">
        <f>SUM(C189:H189)</f>
        <v>0</v>
      </c>
      <c r="J189" s="161"/>
      <c r="K189" s="161"/>
      <c r="L189" s="161"/>
      <c r="M189" s="161"/>
      <c r="N189" s="161"/>
      <c r="O189" s="161"/>
    </row>
    <row r="190" spans="1:25" ht="21" hidden="1" customHeight="1">
      <c r="A190" s="100" t="s">
        <v>28</v>
      </c>
      <c r="B190" s="100"/>
      <c r="C190" s="100"/>
      <c r="D190" s="124"/>
      <c r="E190" s="108"/>
      <c r="F190" s="108"/>
      <c r="G190" s="108"/>
      <c r="H190" s="108"/>
      <c r="I190" s="252">
        <f>SUM(B190:H190)</f>
        <v>0</v>
      </c>
      <c r="J190" s="161"/>
      <c r="K190" s="161"/>
      <c r="L190" s="161"/>
      <c r="M190" s="161"/>
      <c r="N190" s="161"/>
      <c r="O190" s="161"/>
    </row>
    <row r="191" spans="1:25" ht="21" hidden="1" customHeight="1">
      <c r="A191" s="100" t="s">
        <v>241</v>
      </c>
      <c r="B191" s="100"/>
      <c r="C191" s="100"/>
      <c r="D191" s="124"/>
      <c r="E191" s="108"/>
      <c r="F191" s="108"/>
      <c r="G191" s="108"/>
      <c r="H191" s="108"/>
      <c r="I191" s="108">
        <f>SUM(D191:H191)</f>
        <v>0</v>
      </c>
      <c r="J191" s="161"/>
      <c r="K191" s="161"/>
      <c r="L191" s="161"/>
      <c r="M191" s="161"/>
      <c r="N191" s="161"/>
      <c r="O191" s="161"/>
    </row>
    <row r="192" spans="1:25" ht="21" hidden="1" customHeight="1">
      <c r="A192" s="103" t="s">
        <v>35</v>
      </c>
      <c r="B192" s="103"/>
      <c r="C192" s="103"/>
      <c r="D192" s="125"/>
      <c r="E192" s="111"/>
      <c r="F192" s="111"/>
      <c r="G192" s="111"/>
      <c r="H192" s="111"/>
      <c r="I192" s="254">
        <f>SUM(B192:H192)</f>
        <v>0</v>
      </c>
      <c r="J192" s="161"/>
      <c r="K192" s="161"/>
      <c r="L192" s="161"/>
      <c r="M192" s="161"/>
      <c r="N192" s="161"/>
      <c r="O192" s="161"/>
    </row>
    <row r="193" spans="1:15" ht="21" hidden="1" customHeight="1">
      <c r="A193" s="95" t="s">
        <v>162</v>
      </c>
      <c r="B193" s="106">
        <f t="shared" ref="B193:I193" si="30">SUM(B189:B192)</f>
        <v>0</v>
      </c>
      <c r="C193" s="106">
        <f t="shared" si="30"/>
        <v>0</v>
      </c>
      <c r="D193" s="106">
        <f t="shared" si="30"/>
        <v>0</v>
      </c>
      <c r="E193" s="106">
        <f t="shared" si="30"/>
        <v>0</v>
      </c>
      <c r="F193" s="106">
        <f t="shared" si="30"/>
        <v>0</v>
      </c>
      <c r="G193" s="106">
        <f t="shared" si="30"/>
        <v>0</v>
      </c>
      <c r="H193" s="106">
        <f t="shared" si="30"/>
        <v>0</v>
      </c>
      <c r="I193" s="106">
        <f t="shared" si="30"/>
        <v>0</v>
      </c>
      <c r="J193" s="160"/>
      <c r="K193" s="160"/>
      <c r="L193" s="160"/>
      <c r="M193" s="160"/>
      <c r="N193" s="160"/>
      <c r="O193" s="160"/>
    </row>
    <row r="194" spans="1:15" ht="21" hidden="1" customHeight="1">
      <c r="A194" s="99" t="s">
        <v>48</v>
      </c>
      <c r="B194" s="99"/>
      <c r="C194" s="99"/>
      <c r="D194" s="123"/>
      <c r="E194" s="109"/>
      <c r="F194" s="109"/>
      <c r="G194" s="109"/>
      <c r="H194" s="109"/>
      <c r="I194" s="109"/>
      <c r="J194" s="161"/>
      <c r="K194" s="161"/>
      <c r="L194" s="161"/>
      <c r="M194" s="161"/>
      <c r="N194" s="161"/>
      <c r="O194" s="161"/>
    </row>
    <row r="195" spans="1:15" ht="21" hidden="1" customHeight="1">
      <c r="A195" s="100" t="s">
        <v>108</v>
      </c>
      <c r="B195" s="100"/>
      <c r="C195" s="100"/>
      <c r="D195" s="124"/>
      <c r="E195" s="108"/>
      <c r="F195" s="108"/>
      <c r="G195" s="108"/>
      <c r="H195" s="108"/>
      <c r="I195" s="252">
        <f>SUM(B195:H195)</f>
        <v>0</v>
      </c>
      <c r="J195" s="161"/>
      <c r="K195" s="161"/>
      <c r="L195" s="161"/>
      <c r="M195" s="161"/>
      <c r="N195" s="161"/>
      <c r="O195" s="161"/>
    </row>
    <row r="196" spans="1:15" ht="21" hidden="1" customHeight="1">
      <c r="A196" s="103"/>
      <c r="B196" s="103"/>
      <c r="C196" s="103"/>
      <c r="D196" s="125"/>
      <c r="E196" s="111"/>
      <c r="F196" s="111"/>
      <c r="G196" s="111"/>
      <c r="H196" s="111"/>
      <c r="I196" s="111"/>
      <c r="J196" s="161"/>
      <c r="K196" s="161"/>
      <c r="L196" s="161"/>
      <c r="M196" s="161"/>
      <c r="N196" s="161"/>
      <c r="O196" s="161"/>
    </row>
    <row r="197" spans="1:15" ht="21" hidden="1" customHeight="1">
      <c r="A197" s="95" t="s">
        <v>3</v>
      </c>
      <c r="B197" s="106">
        <f t="shared" ref="B197:I197" si="31">SUM(B195:B196)</f>
        <v>0</v>
      </c>
      <c r="C197" s="106">
        <f t="shared" si="31"/>
        <v>0</v>
      </c>
      <c r="D197" s="106">
        <f t="shared" si="31"/>
        <v>0</v>
      </c>
      <c r="E197" s="106">
        <f t="shared" si="31"/>
        <v>0</v>
      </c>
      <c r="F197" s="106">
        <f t="shared" si="31"/>
        <v>0</v>
      </c>
      <c r="G197" s="106">
        <f t="shared" si="31"/>
        <v>0</v>
      </c>
      <c r="H197" s="106">
        <f t="shared" si="31"/>
        <v>0</v>
      </c>
      <c r="I197" s="106">
        <f t="shared" si="31"/>
        <v>0</v>
      </c>
      <c r="J197" s="160"/>
      <c r="K197" s="160"/>
      <c r="L197" s="160"/>
      <c r="M197" s="160"/>
      <c r="N197" s="160"/>
      <c r="O197" s="160"/>
    </row>
    <row r="198" spans="1:15" ht="21" customHeight="1">
      <c r="A198" s="279" t="s">
        <v>36</v>
      </c>
      <c r="B198" s="280" t="e">
        <f t="shared" ref="B198:I198" si="32">SUM(B5,B37,B68,B108,B142,B164)</f>
        <v>#REF!</v>
      </c>
      <c r="C198" s="280" t="e">
        <f t="shared" si="32"/>
        <v>#REF!</v>
      </c>
      <c r="D198" s="280" t="e">
        <f t="shared" si="32"/>
        <v>#REF!</v>
      </c>
      <c r="E198" s="280" t="e">
        <f t="shared" si="32"/>
        <v>#REF!</v>
      </c>
      <c r="F198" s="280" t="e">
        <f t="shared" si="32"/>
        <v>#REF!</v>
      </c>
      <c r="G198" s="280" t="e">
        <f t="shared" si="32"/>
        <v>#REF!</v>
      </c>
      <c r="H198" s="280" t="e">
        <f t="shared" si="32"/>
        <v>#REF!</v>
      </c>
      <c r="I198" s="280">
        <f t="shared" si="32"/>
        <v>0</v>
      </c>
      <c r="J198" s="162"/>
      <c r="K198" s="162"/>
      <c r="L198" s="162"/>
      <c r="M198" s="162"/>
      <c r="N198" s="162"/>
      <c r="O198" s="162"/>
    </row>
    <row r="199" spans="1:15" ht="21" hidden="1" customHeight="1">
      <c r="E199" s="112">
        <f>3685</f>
        <v>3685</v>
      </c>
      <c r="F199" s="112">
        <v>3141</v>
      </c>
      <c r="G199" s="112">
        <v>2290</v>
      </c>
      <c r="H199" s="112">
        <v>2290</v>
      </c>
    </row>
    <row r="200" spans="1:15" ht="21" hidden="1" customHeight="1">
      <c r="E200" s="112">
        <f>6+5</f>
        <v>11</v>
      </c>
      <c r="F200" s="112">
        <f>19+9+4</f>
        <v>32</v>
      </c>
      <c r="G200" s="112">
        <f>3+3+8</f>
        <v>14</v>
      </c>
      <c r="H200" s="112">
        <f>3+3+8</f>
        <v>14</v>
      </c>
    </row>
    <row r="201" spans="1:15" ht="21" hidden="1" customHeight="1">
      <c r="E201" s="112">
        <f>SUM(E199:E200)</f>
        <v>3696</v>
      </c>
      <c r="F201" s="112">
        <f>SUM(F199:F200)</f>
        <v>3173</v>
      </c>
      <c r="G201" s="112">
        <f>SUM(G199:G200)</f>
        <v>2304</v>
      </c>
      <c r="H201" s="112">
        <f>SUM(H199:H200)</f>
        <v>2304</v>
      </c>
      <c r="I201" s="112">
        <f>SUM(I199:I200)</f>
        <v>0</v>
      </c>
    </row>
    <row r="202" spans="1:15" ht="21" hidden="1" customHeight="1">
      <c r="E202" s="180" t="s">
        <v>132</v>
      </c>
      <c r="F202" s="180" t="s">
        <v>99</v>
      </c>
      <c r="G202" s="180" t="s">
        <v>84</v>
      </c>
      <c r="H202" s="180" t="s">
        <v>84</v>
      </c>
    </row>
    <row r="203" spans="1:15" ht="21" hidden="1" customHeight="1">
      <c r="A203" s="126" t="s">
        <v>66</v>
      </c>
      <c r="B203" s="126"/>
      <c r="C203" s="126"/>
      <c r="E203" s="112" t="e">
        <f>E198-(6+5)</f>
        <v>#REF!</v>
      </c>
    </row>
    <row r="204" spans="1:15" s="112" customFormat="1" ht="21" hidden="1" customHeight="1">
      <c r="A204" s="126" t="s">
        <v>51</v>
      </c>
      <c r="B204" s="126"/>
      <c r="C204" s="126"/>
      <c r="D204" s="126"/>
      <c r="E204" s="112" t="e">
        <f>E28+E67+#REF!</f>
        <v>#REF!</v>
      </c>
      <c r="F204" s="112" t="e">
        <f>F28+F67+#REF!</f>
        <v>#REF!</v>
      </c>
      <c r="G204" s="112" t="e">
        <f>G28+G67+#REF!</f>
        <v>#REF!</v>
      </c>
      <c r="H204" s="112" t="e">
        <f>H28+H67+#REF!</f>
        <v>#REF!</v>
      </c>
    </row>
    <row r="205" spans="1:15" s="112" customFormat="1" ht="21" hidden="1" customHeight="1">
      <c r="A205" s="126" t="s">
        <v>134</v>
      </c>
      <c r="B205" s="126"/>
      <c r="C205" s="126"/>
      <c r="D205" s="126"/>
      <c r="E205" s="112">
        <f>E36</f>
        <v>0</v>
      </c>
    </row>
    <row r="207" spans="1:15" s="112" customFormat="1" ht="21" customHeight="1">
      <c r="A207" s="851" t="s">
        <v>353</v>
      </c>
      <c r="B207" s="852"/>
      <c r="C207" s="852"/>
      <c r="D207" s="869"/>
      <c r="E207" s="596" t="s">
        <v>155</v>
      </c>
      <c r="F207" s="596" t="s">
        <v>156</v>
      </c>
      <c r="G207" s="596" t="s">
        <v>3</v>
      </c>
      <c r="H207" s="596" t="s">
        <v>3</v>
      </c>
      <c r="I207" s="597"/>
    </row>
    <row r="208" spans="1:15" s="112" customFormat="1" ht="21" customHeight="1">
      <c r="A208" s="653" t="s">
        <v>39</v>
      </c>
      <c r="B208" s="552"/>
      <c r="C208" s="552"/>
      <c r="D208" s="553"/>
      <c r="E208" s="598">
        <f>I25</f>
        <v>0</v>
      </c>
      <c r="F208" s="598"/>
      <c r="G208" s="598">
        <f t="shared" ref="G208:H212" si="33">SUM(D208:E208)</f>
        <v>0</v>
      </c>
      <c r="H208" s="598">
        <f t="shared" si="33"/>
        <v>0</v>
      </c>
      <c r="I208" s="625">
        <f>H208+H209+H210</f>
        <v>50</v>
      </c>
    </row>
    <row r="209" spans="1:9" s="112" customFormat="1" ht="21" customHeight="1">
      <c r="A209" s="653" t="s">
        <v>149</v>
      </c>
      <c r="B209" s="552"/>
      <c r="C209" s="552"/>
      <c r="D209" s="553"/>
      <c r="E209" s="598">
        <f>I163+I188</f>
        <v>0</v>
      </c>
      <c r="F209" s="598">
        <f>I56+I92+I108</f>
        <v>0</v>
      </c>
      <c r="G209" s="598">
        <f t="shared" si="33"/>
        <v>0</v>
      </c>
      <c r="H209" s="598">
        <f t="shared" si="33"/>
        <v>0</v>
      </c>
      <c r="I209" s="599"/>
    </row>
    <row r="210" spans="1:9" s="112" customFormat="1" ht="21" customHeight="1">
      <c r="A210" s="653" t="s">
        <v>41</v>
      </c>
      <c r="B210" s="552"/>
      <c r="C210" s="552"/>
      <c r="D210" s="553"/>
      <c r="E210" s="598">
        <f>I193</f>
        <v>0</v>
      </c>
      <c r="F210" s="598">
        <f>I107</f>
        <v>50</v>
      </c>
      <c r="G210" s="598">
        <f t="shared" si="33"/>
        <v>0</v>
      </c>
      <c r="H210" s="598">
        <f t="shared" si="33"/>
        <v>50</v>
      </c>
      <c r="I210" s="599"/>
    </row>
    <row r="211" spans="1:9" s="112" customFormat="1" ht="21" customHeight="1">
      <c r="A211" s="653" t="s">
        <v>150</v>
      </c>
      <c r="B211" s="552"/>
      <c r="C211" s="552"/>
      <c r="D211" s="553"/>
      <c r="E211" s="554">
        <f>I197</f>
        <v>0</v>
      </c>
      <c r="F211" s="554" t="e">
        <f>I62+#REF!</f>
        <v>#REF!</v>
      </c>
      <c r="G211" s="554">
        <f t="shared" si="33"/>
        <v>0</v>
      </c>
      <c r="H211" s="554" t="e">
        <f t="shared" si="33"/>
        <v>#REF!</v>
      </c>
      <c r="I211" s="600" t="e">
        <f>H211</f>
        <v>#REF!</v>
      </c>
    </row>
    <row r="212" spans="1:9" s="112" customFormat="1" ht="21" customHeight="1">
      <c r="A212" s="653" t="s">
        <v>151</v>
      </c>
      <c r="B212" s="552"/>
      <c r="C212" s="552"/>
      <c r="D212" s="553"/>
      <c r="E212" s="554">
        <f>I36</f>
        <v>0</v>
      </c>
      <c r="F212" s="554">
        <f>I67</f>
        <v>0</v>
      </c>
      <c r="G212" s="554">
        <f t="shared" si="33"/>
        <v>0</v>
      </c>
      <c r="H212" s="554">
        <f t="shared" si="33"/>
        <v>0</v>
      </c>
      <c r="I212" s="600">
        <f>H212</f>
        <v>0</v>
      </c>
    </row>
    <row r="213" spans="1:9" s="112" customFormat="1" ht="21" customHeight="1">
      <c r="A213" s="654"/>
      <c r="B213" s="555"/>
      <c r="C213" s="555"/>
      <c r="D213" s="556"/>
      <c r="E213" s="744">
        <f>SUM(E208:E212)</f>
        <v>0</v>
      </c>
      <c r="F213" s="744" t="e">
        <f>SUM(F208:F212)</f>
        <v>#REF!</v>
      </c>
      <c r="G213" s="744"/>
      <c r="H213" s="870" t="e">
        <f>E213+F213</f>
        <v>#REF!</v>
      </c>
      <c r="I213" s="871"/>
    </row>
    <row r="214" spans="1:9" s="112" customFormat="1" ht="21" customHeight="1">
      <c r="A214" s="93"/>
      <c r="B214" s="93"/>
      <c r="C214" s="93"/>
      <c r="D214" s="126"/>
    </row>
    <row r="215" spans="1:9" s="112" customFormat="1" ht="21" customHeight="1">
      <c r="A215" s="93"/>
      <c r="B215" s="93"/>
      <c r="C215" s="93"/>
      <c r="D215" s="126"/>
    </row>
    <row r="216" spans="1:9" s="112" customFormat="1" ht="21" customHeight="1">
      <c r="A216" s="93"/>
      <c r="B216" s="93"/>
      <c r="C216" s="93"/>
      <c r="D216" s="126"/>
      <c r="E216" s="112">
        <f>9289+2777</f>
        <v>12066</v>
      </c>
    </row>
    <row r="217" spans="1:9" s="112" customFormat="1" ht="21" customHeight="1">
      <c r="A217" s="93"/>
      <c r="B217" s="93"/>
      <c r="C217" s="93"/>
      <c r="D217" s="126"/>
    </row>
  </sheetData>
  <mergeCells count="8">
    <mergeCell ref="A207:D207"/>
    <mergeCell ref="H213:I213"/>
    <mergeCell ref="A1:Y1"/>
    <mergeCell ref="A2:I2"/>
    <mergeCell ref="A3:A4"/>
    <mergeCell ref="I3:I4"/>
    <mergeCell ref="J3:J4"/>
    <mergeCell ref="K3:Y3"/>
  </mergeCells>
  <printOptions horizontalCentered="1"/>
  <pageMargins left="0.39370078740157483" right="0.39370078740157483" top="0.47244094488188981" bottom="0.31496062992125984" header="0.78740157480314965" footer="0.19685039370078741"/>
  <pageSetup paperSize="9" scale="80" orientation="landscape" r:id="rId1"/>
  <headerFooter alignWithMargins="0"/>
  <rowBreaks count="5" manualBreakCount="5">
    <brk id="36" max="24" man="1"/>
    <brk id="67" max="24" man="1"/>
    <brk id="107" max="24" man="1"/>
    <brk id="141" max="24" man="1"/>
    <brk id="163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130" zoomScaleSheetLayoutView="130" workbookViewId="0">
      <pane ySplit="4" topLeftCell="A38" activePane="bottomLeft" state="frozen"/>
      <selection pane="bottomLeft" activeCell="I41" sqref="I41"/>
    </sheetView>
  </sheetViews>
  <sheetFormatPr defaultRowHeight="21"/>
  <cols>
    <col min="1" max="1" width="39.28515625" style="93" customWidth="1"/>
    <col min="2" max="4" width="8.85546875" style="93" customWidth="1"/>
    <col min="5" max="5" width="8" style="93" customWidth="1"/>
    <col min="6" max="7" width="7.42578125" style="421" customWidth="1"/>
    <col min="8" max="8" width="7.42578125" style="421" hidden="1" customWidth="1"/>
    <col min="9" max="9" width="9.42578125" style="421" customWidth="1"/>
    <col min="10" max="10" width="8.42578125" style="421" customWidth="1"/>
    <col min="11" max="11" width="21.140625" style="421" customWidth="1"/>
    <col min="12" max="12" width="11" style="421" customWidth="1"/>
    <col min="13" max="15" width="8.42578125" style="421" customWidth="1"/>
    <col min="16" max="16384" width="9.140625" style="93"/>
  </cols>
  <sheetData>
    <row r="1" spans="1:15">
      <c r="A1" s="883" t="s">
        <v>289</v>
      </c>
      <c r="B1" s="884"/>
      <c r="C1" s="884"/>
      <c r="D1" s="884"/>
      <c r="E1" s="884"/>
      <c r="F1" s="884"/>
      <c r="G1" s="884"/>
      <c r="H1" s="884"/>
      <c r="I1" s="885"/>
      <c r="J1" s="301"/>
      <c r="K1" s="301"/>
      <c r="L1" s="301"/>
      <c r="M1" s="301"/>
      <c r="N1" s="301"/>
      <c r="O1" s="301"/>
    </row>
    <row r="2" spans="1:1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15">
      <c r="A3" s="788" t="s">
        <v>0</v>
      </c>
      <c r="B3" s="605" t="s">
        <v>339</v>
      </c>
      <c r="C3" s="605" t="s">
        <v>305</v>
      </c>
      <c r="D3" s="605" t="s">
        <v>266</v>
      </c>
      <c r="E3" s="605" t="s">
        <v>230</v>
      </c>
      <c r="F3" s="605" t="s">
        <v>163</v>
      </c>
      <c r="G3" s="605" t="s">
        <v>132</v>
      </c>
      <c r="H3" s="605" t="s">
        <v>99</v>
      </c>
      <c r="I3" s="174" t="s">
        <v>3</v>
      </c>
      <c r="J3" s="159"/>
      <c r="K3" s="159"/>
      <c r="L3" s="159"/>
      <c r="M3" s="159"/>
      <c r="N3" s="159"/>
      <c r="O3" s="159"/>
    </row>
    <row r="4" spans="1:15">
      <c r="A4" s="789"/>
      <c r="B4" s="641"/>
      <c r="C4" s="641"/>
      <c r="D4" s="641"/>
      <c r="E4" s="641"/>
      <c r="F4" s="491"/>
      <c r="G4" s="491"/>
      <c r="H4" s="491"/>
      <c r="I4" s="491"/>
      <c r="J4" s="492"/>
      <c r="K4" s="500"/>
      <c r="L4" s="500"/>
      <c r="M4" s="492"/>
      <c r="N4" s="492"/>
      <c r="O4" s="492"/>
    </row>
    <row r="5" spans="1:15">
      <c r="A5" s="94" t="s">
        <v>5</v>
      </c>
      <c r="B5" s="493"/>
      <c r="C5" s="493"/>
      <c r="D5" s="493"/>
      <c r="E5" s="493"/>
      <c r="F5" s="492"/>
      <c r="G5" s="492"/>
      <c r="H5" s="492"/>
      <c r="I5" s="494"/>
      <c r="J5" s="492"/>
      <c r="K5" s="492"/>
      <c r="L5" s="492"/>
      <c r="M5" s="492"/>
      <c r="N5" s="492"/>
      <c r="O5" s="492"/>
    </row>
    <row r="6" spans="1:15">
      <c r="A6" s="495" t="s">
        <v>51</v>
      </c>
      <c r="B6" s="496"/>
      <c r="C6" s="496"/>
      <c r="D6" s="496"/>
      <c r="E6" s="496"/>
      <c r="F6" s="497"/>
      <c r="G6" s="497"/>
      <c r="H6" s="497"/>
      <c r="I6" s="498"/>
      <c r="J6" s="492"/>
      <c r="K6" s="492"/>
      <c r="L6" s="190" t="s">
        <v>40</v>
      </c>
      <c r="M6" s="190" t="s">
        <v>150</v>
      </c>
      <c r="N6" s="190" t="s">
        <v>151</v>
      </c>
      <c r="O6" s="159"/>
    </row>
    <row r="7" spans="1:15" s="461" customFormat="1">
      <c r="A7" s="432" t="s">
        <v>71</v>
      </c>
      <c r="B7" s="247">
        <f>35+30</f>
        <v>65</v>
      </c>
      <c r="C7" s="247">
        <f>19+46</f>
        <v>65</v>
      </c>
      <c r="D7" s="247">
        <v>19</v>
      </c>
      <c r="E7" s="247">
        <v>5</v>
      </c>
      <c r="F7" s="499">
        <f>4+4+5</f>
        <v>13</v>
      </c>
      <c r="G7" s="499"/>
      <c r="H7" s="499"/>
      <c r="I7" s="499">
        <f>SUM(B7:H7)</f>
        <v>167</v>
      </c>
      <c r="J7" s="511"/>
      <c r="K7" s="523" t="s">
        <v>210</v>
      </c>
      <c r="L7" s="523">
        <f>I40</f>
        <v>220</v>
      </c>
      <c r="M7" s="523">
        <f>I13</f>
        <v>449</v>
      </c>
      <c r="N7" s="523">
        <f>I19</f>
        <v>152</v>
      </c>
      <c r="O7" s="523">
        <f>SUM(L7:N7)</f>
        <v>821</v>
      </c>
    </row>
    <row r="8" spans="1:15" s="461" customFormat="1">
      <c r="A8" s="429" t="s">
        <v>340</v>
      </c>
      <c r="B8" s="250">
        <v>46</v>
      </c>
      <c r="C8" s="250"/>
      <c r="D8" s="250"/>
      <c r="E8" s="250"/>
      <c r="F8" s="614"/>
      <c r="G8" s="614"/>
      <c r="H8" s="614"/>
      <c r="I8" s="614">
        <f t="shared" ref="I8:I13" si="0">SUM(B8:H8)</f>
        <v>46</v>
      </c>
      <c r="J8" s="511"/>
      <c r="K8" s="523" t="s">
        <v>211</v>
      </c>
      <c r="L8" s="523"/>
      <c r="M8" s="523">
        <f>I27</f>
        <v>0</v>
      </c>
      <c r="N8" s="523"/>
      <c r="O8" s="523">
        <f>SUM(M8:N8)</f>
        <v>0</v>
      </c>
    </row>
    <row r="9" spans="1:15" s="461" customFormat="1">
      <c r="A9" s="429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 t="shared" si="0"/>
        <v>69</v>
      </c>
      <c r="J9" s="511"/>
      <c r="K9" s="523" t="s">
        <v>211</v>
      </c>
      <c r="L9" s="523"/>
      <c r="M9" s="523">
        <f>I28</f>
        <v>14</v>
      </c>
      <c r="N9" s="523"/>
      <c r="O9" s="523">
        <f>SUM(M9:N9)</f>
        <v>14</v>
      </c>
    </row>
    <row r="10" spans="1:15" s="461" customFormat="1">
      <c r="A10" s="429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f t="shared" si="0"/>
        <v>58</v>
      </c>
      <c r="J10" s="492"/>
      <c r="K10" s="523" t="s">
        <v>64</v>
      </c>
      <c r="L10" s="523"/>
      <c r="M10" s="523">
        <f>I34</f>
        <v>86</v>
      </c>
      <c r="N10" s="523">
        <f>I35</f>
        <v>40</v>
      </c>
      <c r="O10" s="523">
        <f>SUM(M10:N10)</f>
        <v>126</v>
      </c>
    </row>
    <row r="11" spans="1:15" s="461" customFormat="1">
      <c r="A11" s="429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>
        <f t="shared" si="0"/>
        <v>71</v>
      </c>
      <c r="J11" s="492"/>
      <c r="K11" s="503" t="s">
        <v>267</v>
      </c>
      <c r="L11" s="503">
        <f>SUM(L7:L10)</f>
        <v>220</v>
      </c>
      <c r="M11" s="503">
        <f>SUM(M7:M10)</f>
        <v>549</v>
      </c>
      <c r="N11" s="503">
        <f>SUM(N7:N10)</f>
        <v>192</v>
      </c>
      <c r="O11" s="503">
        <f>SUM(O7:O10)</f>
        <v>961</v>
      </c>
    </row>
    <row r="12" spans="1:15" s="461" customFormat="1">
      <c r="A12" s="426" t="s">
        <v>262</v>
      </c>
      <c r="B12" s="99"/>
      <c r="C12" s="99">
        <f>1+3</f>
        <v>4</v>
      </c>
      <c r="D12" s="99">
        <v>10</v>
      </c>
      <c r="E12" s="99">
        <v>24</v>
      </c>
      <c r="F12" s="372"/>
      <c r="G12" s="372"/>
      <c r="H12" s="372"/>
      <c r="I12" s="502">
        <f t="shared" si="0"/>
        <v>38</v>
      </c>
      <c r="J12" s="492">
        <f>I11+I8</f>
        <v>117</v>
      </c>
      <c r="K12" s="492"/>
      <c r="L12" s="492"/>
      <c r="M12" s="492"/>
      <c r="N12" s="492"/>
      <c r="O12" s="492"/>
    </row>
    <row r="13" spans="1:15">
      <c r="A13" s="95" t="s">
        <v>3</v>
      </c>
      <c r="B13" s="503">
        <f>SUM(B7:B12)</f>
        <v>128</v>
      </c>
      <c r="C13" s="503">
        <f>SUM(C7:C12)</f>
        <v>119</v>
      </c>
      <c r="D13" s="503">
        <f>SUM(D7:D12)</f>
        <v>76</v>
      </c>
      <c r="E13" s="503">
        <f t="shared" ref="E13:H13" si="1">SUM(E7:E12)</f>
        <v>64</v>
      </c>
      <c r="F13" s="503">
        <f t="shared" si="1"/>
        <v>62</v>
      </c>
      <c r="G13" s="503">
        <f t="shared" si="1"/>
        <v>0</v>
      </c>
      <c r="H13" s="503">
        <f t="shared" si="1"/>
        <v>0</v>
      </c>
      <c r="I13" s="503">
        <f t="shared" si="0"/>
        <v>449</v>
      </c>
      <c r="J13" s="492">
        <f>I7+I9+I10+I11</f>
        <v>365</v>
      </c>
      <c r="K13" s="523" t="s">
        <v>56</v>
      </c>
      <c r="L13" s="523"/>
      <c r="M13" s="523">
        <f>I21+I23</f>
        <v>78</v>
      </c>
      <c r="N13" s="523">
        <f>I22</f>
        <v>1</v>
      </c>
      <c r="O13" s="523">
        <f>SUM(M13:N13)</f>
        <v>79</v>
      </c>
    </row>
    <row r="14" spans="1:15">
      <c r="A14" s="505" t="s">
        <v>134</v>
      </c>
      <c r="B14" s="505"/>
      <c r="C14" s="503"/>
      <c r="D14" s="503"/>
      <c r="E14" s="503"/>
      <c r="F14" s="503"/>
      <c r="G14" s="503"/>
      <c r="H14" s="503"/>
      <c r="I14" s="503"/>
      <c r="J14" s="492"/>
      <c r="K14" s="491" t="s">
        <v>212</v>
      </c>
      <c r="L14" s="491"/>
      <c r="M14" s="491"/>
      <c r="N14" s="491"/>
      <c r="O14" s="491">
        <f>SUM(M14:N14)</f>
        <v>0</v>
      </c>
    </row>
    <row r="15" spans="1:15" s="461" customFormat="1">
      <c r="A15" s="435" t="s">
        <v>82</v>
      </c>
      <c r="B15" s="299"/>
      <c r="C15" s="299"/>
      <c r="D15" s="299"/>
      <c r="E15" s="299"/>
      <c r="F15" s="502">
        <f>4+3</f>
        <v>7</v>
      </c>
      <c r="G15" s="502">
        <v>5</v>
      </c>
      <c r="H15" s="502"/>
      <c r="I15" s="502">
        <f>SUM(B15:H15)</f>
        <v>12</v>
      </c>
      <c r="J15" s="502"/>
      <c r="K15" s="523" t="s">
        <v>213</v>
      </c>
      <c r="L15" s="523"/>
      <c r="M15" s="523">
        <f>I30</f>
        <v>0</v>
      </c>
      <c r="N15" s="523"/>
      <c r="O15" s="523">
        <f>SUM(M15:N15)</f>
        <v>0</v>
      </c>
    </row>
    <row r="16" spans="1:15" s="461" customFormat="1">
      <c r="A16" s="429" t="s">
        <v>282</v>
      </c>
      <c r="B16" s="250">
        <v>12</v>
      </c>
      <c r="C16" s="250">
        <f>17+1</f>
        <v>18</v>
      </c>
      <c r="D16" s="250">
        <f>14+2</f>
        <v>16</v>
      </c>
      <c r="E16" s="250">
        <v>13</v>
      </c>
      <c r="F16" s="614"/>
      <c r="G16" s="614"/>
      <c r="H16" s="614"/>
      <c r="I16" s="614">
        <f>SUM(B16:H16)</f>
        <v>59</v>
      </c>
      <c r="J16" s="502"/>
      <c r="K16" s="542" t="s">
        <v>316</v>
      </c>
      <c r="L16" s="543">
        <f>SUM(L13:L15)</f>
        <v>0</v>
      </c>
      <c r="M16" s="543">
        <f>SUM(M13:M15)</f>
        <v>78</v>
      </c>
      <c r="N16" s="543">
        <f>SUM(N13:N15)</f>
        <v>1</v>
      </c>
      <c r="O16" s="543">
        <f>SUM(O13:O15)</f>
        <v>79</v>
      </c>
    </row>
    <row r="17" spans="1:15" s="461" customFormat="1">
      <c r="A17" s="429" t="s">
        <v>97</v>
      </c>
      <c r="B17" s="250">
        <v>7</v>
      </c>
      <c r="C17" s="250">
        <v>11</v>
      </c>
      <c r="D17" s="250"/>
      <c r="E17" s="250"/>
      <c r="F17" s="614">
        <v>12</v>
      </c>
      <c r="G17" s="614"/>
      <c r="H17" s="614"/>
      <c r="I17" s="614">
        <f>SUM(B17:H17)</f>
        <v>30</v>
      </c>
      <c r="J17" s="502"/>
    </row>
    <row r="18" spans="1:15" s="461" customFormat="1">
      <c r="A18" s="429" t="s">
        <v>98</v>
      </c>
      <c r="B18" s="250">
        <v>7</v>
      </c>
      <c r="C18" s="250">
        <f>6+4</f>
        <v>10</v>
      </c>
      <c r="D18" s="250">
        <v>19</v>
      </c>
      <c r="E18" s="250">
        <v>9</v>
      </c>
      <c r="F18" s="614">
        <v>5</v>
      </c>
      <c r="G18" s="614">
        <v>1</v>
      </c>
      <c r="H18" s="614"/>
      <c r="I18" s="502">
        <f>SUM(B18:H18)</f>
        <v>51</v>
      </c>
      <c r="J18" s="492"/>
      <c r="K18" s="501" t="s">
        <v>59</v>
      </c>
      <c r="L18" s="501">
        <f>L11+L16</f>
        <v>220</v>
      </c>
      <c r="M18" s="501">
        <f>M11+M16</f>
        <v>627</v>
      </c>
      <c r="N18" s="501">
        <f>N11+N16</f>
        <v>193</v>
      </c>
      <c r="O18" s="501">
        <f>O11+O16</f>
        <v>1040</v>
      </c>
    </row>
    <row r="19" spans="1:15">
      <c r="A19" s="95" t="s">
        <v>3</v>
      </c>
      <c r="B19" s="491">
        <f>SUM(B15:B18)</f>
        <v>26</v>
      </c>
      <c r="C19" s="491">
        <f>SUM(C15:C18)</f>
        <v>39</v>
      </c>
      <c r="D19" s="491">
        <f>SUM(D15:D18)</f>
        <v>35</v>
      </c>
      <c r="E19" s="491">
        <f t="shared" ref="E19:H19" si="2">SUM(E15:E18)</f>
        <v>22</v>
      </c>
      <c r="F19" s="491">
        <f t="shared" si="2"/>
        <v>24</v>
      </c>
      <c r="G19" s="491">
        <f t="shared" si="2"/>
        <v>6</v>
      </c>
      <c r="H19" s="491">
        <f t="shared" si="2"/>
        <v>0</v>
      </c>
      <c r="I19" s="491">
        <f>SUM(B19:H19)</f>
        <v>152</v>
      </c>
      <c r="J19" s="492"/>
      <c r="K19" s="492"/>
      <c r="L19" s="492"/>
      <c r="M19" s="504"/>
      <c r="N19" s="504"/>
      <c r="O19" s="504"/>
    </row>
    <row r="20" spans="1:15">
      <c r="A20" s="506" t="s">
        <v>11</v>
      </c>
      <c r="B20" s="507"/>
      <c r="C20" s="507"/>
      <c r="D20" s="507"/>
      <c r="E20" s="507"/>
      <c r="F20" s="499"/>
      <c r="G20" s="499"/>
      <c r="H20" s="499"/>
      <c r="I20" s="499"/>
      <c r="J20" s="492"/>
    </row>
    <row r="21" spans="1:15" s="461" customFormat="1">
      <c r="A21" s="426" t="s">
        <v>173</v>
      </c>
      <c r="B21" s="259"/>
      <c r="C21" s="259">
        <f>0+2</f>
        <v>2</v>
      </c>
      <c r="D21" s="259"/>
      <c r="E21" s="259">
        <f>1+0</f>
        <v>1</v>
      </c>
      <c r="F21" s="502"/>
      <c r="G21" s="502"/>
      <c r="H21" s="502"/>
      <c r="I21" s="614">
        <f>SUM(B21:H21)</f>
        <v>3</v>
      </c>
      <c r="J21" s="492"/>
      <c r="K21" s="492"/>
      <c r="L21" s="492"/>
      <c r="M21" s="492"/>
      <c r="N21" s="492"/>
      <c r="O21" s="492"/>
    </row>
    <row r="22" spans="1:15" s="461" customFormat="1">
      <c r="A22" s="426" t="s">
        <v>171</v>
      </c>
      <c r="B22" s="259"/>
      <c r="C22" s="259"/>
      <c r="D22" s="259">
        <v>1</v>
      </c>
      <c r="E22" s="259"/>
      <c r="F22" s="502"/>
      <c r="G22" s="502"/>
      <c r="H22" s="502"/>
      <c r="I22" s="614">
        <f>SUM(B22:H22)</f>
        <v>1</v>
      </c>
      <c r="J22" s="492"/>
      <c r="K22" s="492"/>
      <c r="L22" s="492"/>
      <c r="M22" s="492"/>
      <c r="N22" s="492"/>
      <c r="O22" s="492"/>
    </row>
    <row r="23" spans="1:15" s="461" customFormat="1">
      <c r="A23" s="422" t="s">
        <v>174</v>
      </c>
      <c r="B23" s="100">
        <v>8</v>
      </c>
      <c r="C23" s="100">
        <f>9+1</f>
        <v>10</v>
      </c>
      <c r="D23" s="100">
        <v>17</v>
      </c>
      <c r="E23" s="100">
        <f>14+10</f>
        <v>24</v>
      </c>
      <c r="F23" s="614">
        <v>16</v>
      </c>
      <c r="G23" s="614"/>
      <c r="H23" s="614"/>
      <c r="I23" s="502">
        <f>SUM(B23:H23)</f>
        <v>75</v>
      </c>
      <c r="J23" s="492"/>
      <c r="K23" s="492"/>
      <c r="L23" s="492"/>
      <c r="M23" s="492"/>
      <c r="N23" s="492"/>
      <c r="O23" s="492"/>
    </row>
    <row r="24" spans="1:15">
      <c r="A24" s="95" t="s">
        <v>3</v>
      </c>
      <c r="B24" s="491">
        <f t="shared" ref="B24:H24" si="3">SUM(B21:B23)</f>
        <v>8</v>
      </c>
      <c r="C24" s="491">
        <f t="shared" si="3"/>
        <v>12</v>
      </c>
      <c r="D24" s="491">
        <f t="shared" si="3"/>
        <v>18</v>
      </c>
      <c r="E24" s="491">
        <f t="shared" si="3"/>
        <v>25</v>
      </c>
      <c r="F24" s="491">
        <f t="shared" si="3"/>
        <v>16</v>
      </c>
      <c r="G24" s="491">
        <f t="shared" si="3"/>
        <v>0</v>
      </c>
      <c r="H24" s="491">
        <f t="shared" si="3"/>
        <v>0</v>
      </c>
      <c r="I24" s="491">
        <f>SUM(B24:H24)</f>
        <v>79</v>
      </c>
      <c r="J24" s="492"/>
      <c r="K24" s="492"/>
      <c r="L24" s="492"/>
      <c r="M24" s="492"/>
      <c r="N24" s="492"/>
      <c r="O24" s="492"/>
    </row>
    <row r="25" spans="1:15">
      <c r="A25" s="506" t="s">
        <v>19</v>
      </c>
      <c r="B25" s="507"/>
      <c r="C25" s="507"/>
      <c r="D25" s="507"/>
      <c r="E25" s="507"/>
      <c r="F25" s="502"/>
      <c r="G25" s="502"/>
      <c r="H25" s="502"/>
      <c r="I25" s="502"/>
      <c r="J25" s="492"/>
      <c r="K25" s="492">
        <f>45+26</f>
        <v>71</v>
      </c>
      <c r="L25" s="492"/>
      <c r="M25" s="492"/>
      <c r="N25" s="492"/>
      <c r="O25" s="492"/>
    </row>
    <row r="26" spans="1:15" s="461" customFormat="1">
      <c r="A26" s="422" t="s">
        <v>74</v>
      </c>
      <c r="B26" s="100"/>
      <c r="C26" s="100"/>
      <c r="D26" s="100"/>
      <c r="E26" s="100">
        <v>7</v>
      </c>
      <c r="F26" s="614">
        <v>7</v>
      </c>
      <c r="G26" s="614"/>
      <c r="H26" s="614"/>
      <c r="I26" s="614">
        <f>SUM(B26:H26)</f>
        <v>14</v>
      </c>
      <c r="J26" s="492"/>
      <c r="K26" s="492">
        <f>29+12</f>
        <v>41</v>
      </c>
      <c r="L26" s="492"/>
      <c r="M26" s="492"/>
      <c r="N26" s="492">
        <f>I13+I24+I28+I32+I36</f>
        <v>668</v>
      </c>
      <c r="O26" s="492"/>
    </row>
    <row r="27" spans="1:15">
      <c r="A27" s="99"/>
      <c r="B27" s="259"/>
      <c r="C27" s="259"/>
      <c r="D27" s="259"/>
      <c r="E27" s="259"/>
      <c r="F27" s="502"/>
      <c r="G27" s="502"/>
      <c r="H27" s="502"/>
      <c r="I27" s="502"/>
      <c r="J27" s="492"/>
      <c r="K27" s="492">
        <f>SUM(K25:K26)</f>
        <v>112</v>
      </c>
      <c r="L27" s="492"/>
      <c r="M27" s="492"/>
      <c r="N27" s="492">
        <f>I19+I35</f>
        <v>192</v>
      </c>
      <c r="O27" s="492">
        <f>20</f>
        <v>20</v>
      </c>
    </row>
    <row r="28" spans="1:15">
      <c r="A28" s="95" t="s">
        <v>3</v>
      </c>
      <c r="B28" s="491">
        <f t="shared" ref="B28:C28" si="4">SUM(B26:B27)</f>
        <v>0</v>
      </c>
      <c r="C28" s="491">
        <f t="shared" si="4"/>
        <v>0</v>
      </c>
      <c r="D28" s="491">
        <f t="shared" ref="D28:H28" si="5">SUM(D26:D27)</f>
        <v>0</v>
      </c>
      <c r="E28" s="491">
        <f t="shared" si="5"/>
        <v>7</v>
      </c>
      <c r="F28" s="491">
        <f t="shared" si="5"/>
        <v>7</v>
      </c>
      <c r="G28" s="491">
        <f t="shared" si="5"/>
        <v>0</v>
      </c>
      <c r="H28" s="491">
        <f t="shared" si="5"/>
        <v>0</v>
      </c>
      <c r="I28" s="491">
        <f>SUM(B28:H28)</f>
        <v>14</v>
      </c>
      <c r="J28" s="492"/>
      <c r="K28" s="492"/>
      <c r="L28" s="492"/>
      <c r="M28" s="492"/>
      <c r="N28" s="492">
        <f>SUM(N26:N27)</f>
        <v>860</v>
      </c>
      <c r="O28" s="492"/>
    </row>
    <row r="29" spans="1:15">
      <c r="A29" s="506" t="s">
        <v>15</v>
      </c>
      <c r="B29" s="507"/>
      <c r="C29" s="507"/>
      <c r="D29" s="507"/>
      <c r="E29" s="507"/>
      <c r="F29" s="502"/>
      <c r="G29" s="502"/>
      <c r="H29" s="502"/>
      <c r="I29" s="502"/>
      <c r="J29" s="492"/>
      <c r="K29" s="492"/>
      <c r="L29" s="492"/>
      <c r="M29" s="492"/>
      <c r="N29" s="492">
        <v>329</v>
      </c>
      <c r="O29" s="492"/>
    </row>
    <row r="30" spans="1:15" s="461" customFormat="1">
      <c r="A30" s="422" t="s">
        <v>130</v>
      </c>
      <c r="B30" s="100"/>
      <c r="C30" s="100"/>
      <c r="D30" s="100"/>
      <c r="E30" s="100"/>
      <c r="F30" s="614"/>
      <c r="G30" s="614"/>
      <c r="H30" s="614"/>
      <c r="I30" s="614">
        <f>SUM(C30:H30)</f>
        <v>0</v>
      </c>
      <c r="J30" s="492"/>
      <c r="K30" s="492"/>
      <c r="L30" s="492"/>
      <c r="M30" s="492"/>
      <c r="N30" s="492">
        <f>SUM(N28:N29)</f>
        <v>1189</v>
      </c>
      <c r="O30" s="492"/>
    </row>
    <row r="31" spans="1:15">
      <c r="A31" s="99"/>
      <c r="B31" s="259"/>
      <c r="C31" s="259"/>
      <c r="D31" s="259"/>
      <c r="E31" s="259"/>
      <c r="F31" s="502"/>
      <c r="G31" s="502"/>
      <c r="H31" s="502"/>
      <c r="I31" s="502"/>
      <c r="J31" s="511"/>
      <c r="K31" s="529"/>
      <c r="L31" s="529"/>
      <c r="M31" s="530"/>
      <c r="N31" s="492"/>
      <c r="O31" s="492"/>
    </row>
    <row r="32" spans="1:15">
      <c r="A32" s="95" t="s">
        <v>3</v>
      </c>
      <c r="B32" s="95"/>
      <c r="C32" s="491">
        <f t="shared" ref="C32" si="6">SUM(C30:C31)</f>
        <v>0</v>
      </c>
      <c r="D32" s="491">
        <f t="shared" ref="D32:H32" si="7">SUM(D30:D31)</f>
        <v>0</v>
      </c>
      <c r="E32" s="491">
        <f t="shared" si="7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>SUM(B32:H32)</f>
        <v>0</v>
      </c>
      <c r="J32" s="531"/>
      <c r="K32" s="492" t="s">
        <v>134</v>
      </c>
      <c r="L32" s="492"/>
      <c r="M32" s="494">
        <f>N11+N19</f>
        <v>192</v>
      </c>
      <c r="N32" s="492"/>
      <c r="O32" s="492"/>
    </row>
    <row r="33" spans="1:15">
      <c r="A33" s="98" t="s">
        <v>26</v>
      </c>
      <c r="B33" s="98"/>
      <c r="C33" s="98"/>
      <c r="D33" s="98"/>
      <c r="E33" s="98"/>
      <c r="F33" s="491"/>
      <c r="G33" s="491"/>
      <c r="H33" s="491"/>
      <c r="I33" s="491"/>
      <c r="J33" s="531"/>
      <c r="K33" s="492" t="s">
        <v>51</v>
      </c>
      <c r="L33" s="492"/>
      <c r="M33" s="494">
        <f>M11+M19</f>
        <v>549</v>
      </c>
      <c r="N33" s="492">
        <f>20+1</f>
        <v>21</v>
      </c>
      <c r="O33" s="492"/>
    </row>
    <row r="34" spans="1:15" s="461" customFormat="1">
      <c r="A34" s="426" t="s">
        <v>57</v>
      </c>
      <c r="B34" s="99">
        <v>32</v>
      </c>
      <c r="C34" s="99">
        <f>13+13</f>
        <v>26</v>
      </c>
      <c r="D34" s="99">
        <v>15</v>
      </c>
      <c r="E34" s="99">
        <v>9</v>
      </c>
      <c r="F34" s="372">
        <v>4</v>
      </c>
      <c r="G34" s="372"/>
      <c r="H34" s="372"/>
      <c r="I34" s="372">
        <f>SUM(B34:H34)</f>
        <v>86</v>
      </c>
      <c r="J34" s="531"/>
      <c r="K34" s="492" t="s">
        <v>237</v>
      </c>
      <c r="L34" s="492"/>
      <c r="M34" s="494">
        <f>I40</f>
        <v>220</v>
      </c>
      <c r="N34" s="492"/>
      <c r="O34" s="492"/>
    </row>
    <row r="35" spans="1:15" s="461" customFormat="1">
      <c r="A35" s="426" t="s">
        <v>172</v>
      </c>
      <c r="B35" s="259"/>
      <c r="C35" s="259">
        <f>4+3</f>
        <v>7</v>
      </c>
      <c r="D35" s="259">
        <f>13</f>
        <v>13</v>
      </c>
      <c r="E35" s="259">
        <f>8+4</f>
        <v>12</v>
      </c>
      <c r="F35" s="502">
        <v>8</v>
      </c>
      <c r="G35" s="502"/>
      <c r="H35" s="502"/>
      <c r="I35" s="502">
        <f>SUM(B35:H35)</f>
        <v>40</v>
      </c>
      <c r="J35" s="532"/>
      <c r="K35" s="497"/>
      <c r="L35" s="497"/>
      <c r="M35" s="498">
        <f>SUM(M32:M34)</f>
        <v>961</v>
      </c>
      <c r="N35" s="492"/>
      <c r="O35" s="492"/>
    </row>
    <row r="36" spans="1:15">
      <c r="A36" s="95" t="s">
        <v>3</v>
      </c>
      <c r="B36" s="491">
        <f t="shared" ref="B36:C36" si="8">SUM(B34:B35)</f>
        <v>32</v>
      </c>
      <c r="C36" s="491">
        <f t="shared" si="8"/>
        <v>33</v>
      </c>
      <c r="D36" s="491">
        <f t="shared" ref="D36:H36" si="9">SUM(D34:D35)</f>
        <v>28</v>
      </c>
      <c r="E36" s="491">
        <f t="shared" si="9"/>
        <v>21</v>
      </c>
      <c r="F36" s="491">
        <f t="shared" si="9"/>
        <v>12</v>
      </c>
      <c r="G36" s="491">
        <f t="shared" si="9"/>
        <v>0</v>
      </c>
      <c r="H36" s="491">
        <f t="shared" si="9"/>
        <v>0</v>
      </c>
      <c r="I36" s="491">
        <f>SUM(B36:H36)</f>
        <v>126</v>
      </c>
      <c r="J36" s="492"/>
      <c r="K36" s="492"/>
      <c r="L36" s="492"/>
      <c r="M36" s="492"/>
      <c r="N36" s="492"/>
      <c r="O36" s="492"/>
    </row>
    <row r="37" spans="1:15">
      <c r="A37" s="507" t="s">
        <v>127</v>
      </c>
      <c r="B37" s="508"/>
      <c r="C37" s="508"/>
      <c r="D37" s="508"/>
      <c r="E37" s="508"/>
      <c r="F37" s="492"/>
      <c r="G37" s="492"/>
      <c r="H37" s="492"/>
      <c r="I37" s="502"/>
      <c r="J37" s="492"/>
      <c r="K37" s="492"/>
      <c r="L37" s="492"/>
      <c r="M37" s="492"/>
      <c r="N37" s="492"/>
      <c r="O37" s="492"/>
    </row>
    <row r="38" spans="1:15">
      <c r="A38" s="509" t="s">
        <v>128</v>
      </c>
      <c r="B38" s="510"/>
      <c r="C38" s="510"/>
      <c r="D38" s="510"/>
      <c r="E38" s="510"/>
      <c r="F38" s="511"/>
      <c r="G38" s="511"/>
      <c r="H38" s="499"/>
      <c r="I38" s="499">
        <f>SUM(D38:H38)</f>
        <v>0</v>
      </c>
      <c r="J38" s="512"/>
      <c r="K38" s="512"/>
      <c r="L38" s="512"/>
      <c r="M38" s="512"/>
      <c r="N38" s="512"/>
      <c r="O38" s="512"/>
    </row>
    <row r="39" spans="1:15">
      <c r="A39" s="533" t="s">
        <v>129</v>
      </c>
      <c r="B39" s="644">
        <v>180</v>
      </c>
      <c r="C39" s="644">
        <v>13</v>
      </c>
      <c r="D39" s="644">
        <v>27</v>
      </c>
      <c r="E39" s="644"/>
      <c r="F39" s="645"/>
      <c r="G39" s="645"/>
      <c r="H39" s="491"/>
      <c r="I39" s="491">
        <f>SUM(B39:H39)</f>
        <v>220</v>
      </c>
      <c r="J39" s="492"/>
      <c r="K39" s="492"/>
      <c r="L39" s="492"/>
      <c r="M39" s="492"/>
      <c r="N39" s="492"/>
      <c r="O39" s="492"/>
    </row>
    <row r="40" spans="1:15" s="461" customFormat="1">
      <c r="A40" s="513"/>
      <c r="B40" s="514">
        <f>SUM(B38:B39)</f>
        <v>180</v>
      </c>
      <c r="C40" s="514">
        <f>SUM(C38:C39)</f>
        <v>13</v>
      </c>
      <c r="D40" s="514">
        <f>SUM(D38:D39)</f>
        <v>27</v>
      </c>
      <c r="E40" s="515"/>
      <c r="F40" s="514">
        <f>SUM(F38:F39)</f>
        <v>0</v>
      </c>
      <c r="G40" s="514">
        <f>SUM(G38:G39)</f>
        <v>0</v>
      </c>
      <c r="H40" s="491"/>
      <c r="I40" s="499">
        <f>SUM(B40:H40)</f>
        <v>220</v>
      </c>
      <c r="J40" s="492"/>
      <c r="K40" s="492"/>
      <c r="L40" s="492"/>
      <c r="M40" s="492"/>
      <c r="N40" s="492"/>
      <c r="O40" s="492"/>
    </row>
    <row r="41" spans="1:15">
      <c r="A41" s="392" t="s">
        <v>36</v>
      </c>
      <c r="B41" s="392">
        <f t="shared" ref="B41:H41" si="10">SUM(B13,B19,B24,B28,B32,B36,B40)</f>
        <v>374</v>
      </c>
      <c r="C41" s="392">
        <f t="shared" si="10"/>
        <v>216</v>
      </c>
      <c r="D41" s="392">
        <f t="shared" si="10"/>
        <v>184</v>
      </c>
      <c r="E41" s="392">
        <f t="shared" si="10"/>
        <v>139</v>
      </c>
      <c r="F41" s="392">
        <f t="shared" si="10"/>
        <v>121</v>
      </c>
      <c r="G41" s="392">
        <f t="shared" si="10"/>
        <v>6</v>
      </c>
      <c r="H41" s="392">
        <f t="shared" si="10"/>
        <v>0</v>
      </c>
      <c r="I41" s="503">
        <f>SUM(B41:H41)</f>
        <v>1040</v>
      </c>
      <c r="J41" s="502"/>
      <c r="K41" s="502"/>
      <c r="L41" s="502"/>
      <c r="M41" s="502"/>
      <c r="N41" s="502"/>
      <c r="O41" s="502"/>
    </row>
    <row r="42" spans="1:15">
      <c r="A42" s="540"/>
      <c r="B42" s="646"/>
      <c r="C42" s="606" t="s">
        <v>269</v>
      </c>
      <c r="D42" s="607" t="s">
        <v>270</v>
      </c>
      <c r="E42" s="608" t="s">
        <v>3</v>
      </c>
      <c r="F42" s="511"/>
      <c r="G42" s="499"/>
    </row>
    <row r="43" spans="1:15">
      <c r="A43" s="544" t="s">
        <v>40</v>
      </c>
      <c r="B43" s="610"/>
      <c r="C43" s="609">
        <f>บัณฑิตศึกษา!I40</f>
        <v>220</v>
      </c>
      <c r="D43" s="610"/>
      <c r="E43" s="611">
        <f>SUM(C43:D43)</f>
        <v>220</v>
      </c>
      <c r="F43" s="491"/>
      <c r="G43" s="491"/>
      <c r="H43" s="491"/>
      <c r="I43" s="421">
        <f>'ปกติ (2)'!I135+'ปกติ (2)'!I136</f>
        <v>35</v>
      </c>
    </row>
    <row r="44" spans="1:15">
      <c r="A44" s="544" t="s">
        <v>51</v>
      </c>
      <c r="B44" s="610"/>
      <c r="C44" s="609">
        <f>M11</f>
        <v>549</v>
      </c>
      <c r="D44" s="609">
        <f>M16</f>
        <v>78</v>
      </c>
      <c r="E44" s="611">
        <f>SUM(C44:D44)</f>
        <v>627</v>
      </c>
      <c r="F44" s="491"/>
      <c r="G44" s="491"/>
      <c r="H44" s="491"/>
      <c r="I44" s="421">
        <f>SUM(I41:I43)</f>
        <v>1075</v>
      </c>
    </row>
    <row r="45" spans="1:15">
      <c r="A45" s="544" t="s">
        <v>151</v>
      </c>
      <c r="B45" s="610"/>
      <c r="C45" s="609">
        <f>N11</f>
        <v>192</v>
      </c>
      <c r="D45" s="609">
        <f>N16</f>
        <v>1</v>
      </c>
      <c r="E45" s="611">
        <f>SUM(C45:D45)</f>
        <v>193</v>
      </c>
      <c r="F45" s="491"/>
      <c r="G45" s="491"/>
      <c r="H45" s="491"/>
    </row>
    <row r="46" spans="1:15">
      <c r="A46" s="545" t="s">
        <v>3</v>
      </c>
      <c r="B46" s="647"/>
      <c r="C46" s="642">
        <f>SUM(C43:C45)</f>
        <v>961</v>
      </c>
      <c r="D46" s="642">
        <f>SUM(D43:D45)</f>
        <v>79</v>
      </c>
      <c r="E46" s="642">
        <f>SUM(E43:E45)</f>
        <v>1040</v>
      </c>
      <c r="F46" s="491"/>
      <c r="G46" s="491"/>
      <c r="H46" s="491"/>
    </row>
    <row r="48" spans="1:15">
      <c r="A48" s="837" t="s">
        <v>353</v>
      </c>
      <c r="B48" s="838"/>
      <c r="C48" s="838"/>
      <c r="D48" s="838"/>
    </row>
  </sheetData>
  <mergeCells count="3">
    <mergeCell ref="A3:A4"/>
    <mergeCell ref="A1:I1"/>
    <mergeCell ref="A48:D48"/>
  </mergeCells>
  <phoneticPr fontId="6" type="noConversion"/>
  <printOptions horizontalCentered="1"/>
  <pageMargins left="0.47244094488188981" right="0.55118110236220474" top="0.98425196850393704" bottom="0.98425196850393704" header="0.51181102362204722" footer="0.51181102362204722"/>
  <pageSetup paperSize="9" scale="96" orientation="portrait" r:id="rId1"/>
  <headerFooter alignWithMargins="0">
    <oddFooter>หน้าที่ &amp;P จาก &amp;N</oddFooter>
  </headerFooter>
  <rowBreaks count="1" manualBreakCount="1">
    <brk id="32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140" zoomScaleSheetLayoutView="140" workbookViewId="0">
      <pane ySplit="4" topLeftCell="A29" activePane="bottomLeft" state="frozen"/>
      <selection pane="bottomLeft" activeCell="I44" sqref="I44"/>
    </sheetView>
  </sheetViews>
  <sheetFormatPr defaultRowHeight="12.75"/>
  <cols>
    <col min="1" max="1" width="30" style="19" customWidth="1"/>
    <col min="2" max="2" width="8.85546875" style="19" customWidth="1"/>
    <col min="3" max="3" width="8" style="19" customWidth="1"/>
    <col min="4" max="8" width="7.42578125" style="138" customWidth="1"/>
    <col min="9" max="9" width="9.42578125" style="138" customWidth="1"/>
    <col min="10" max="10" width="8.42578125" style="138" hidden="1" customWidth="1"/>
    <col min="11" max="11" width="19.42578125" style="138" customWidth="1"/>
    <col min="12" max="16" width="8.42578125" style="138" customWidth="1"/>
    <col min="17" max="17" width="9.140625" style="19"/>
    <col min="18" max="18" width="11.7109375" style="19" customWidth="1"/>
    <col min="19" max="16384" width="9.140625" style="19"/>
  </cols>
  <sheetData>
    <row r="1" spans="1:19" ht="14.25">
      <c r="A1" s="886" t="s">
        <v>229</v>
      </c>
      <c r="B1" s="887"/>
      <c r="C1" s="887"/>
      <c r="D1" s="887"/>
      <c r="E1" s="887"/>
      <c r="F1" s="887"/>
      <c r="G1" s="887"/>
      <c r="H1" s="887"/>
      <c r="I1" s="888"/>
      <c r="J1" s="281"/>
      <c r="K1" s="281"/>
      <c r="L1" s="281"/>
      <c r="M1" s="281"/>
      <c r="N1" s="281"/>
      <c r="O1" s="281"/>
      <c r="P1" s="281"/>
    </row>
    <row r="3" spans="1:19">
      <c r="A3" s="823" t="s">
        <v>0</v>
      </c>
      <c r="B3" s="263" t="s">
        <v>266</v>
      </c>
      <c r="C3" s="263" t="s">
        <v>230</v>
      </c>
      <c r="D3" s="263" t="s">
        <v>163</v>
      </c>
      <c r="E3" s="263" t="s">
        <v>132</v>
      </c>
      <c r="F3" s="263" t="s">
        <v>99</v>
      </c>
      <c r="G3" s="263" t="s">
        <v>84</v>
      </c>
      <c r="H3" s="263" t="s">
        <v>85</v>
      </c>
      <c r="I3" s="264" t="s">
        <v>3</v>
      </c>
      <c r="J3" s="282"/>
      <c r="K3" s="282"/>
      <c r="L3" s="282"/>
      <c r="M3" s="282"/>
      <c r="N3" s="282"/>
      <c r="O3" s="282"/>
      <c r="P3" s="282"/>
      <c r="Q3" s="19" t="s">
        <v>170</v>
      </c>
    </row>
    <row r="4" spans="1:19">
      <c r="A4" s="824"/>
      <c r="B4" s="343"/>
      <c r="C4" s="343"/>
      <c r="D4" s="128"/>
      <c r="E4" s="128"/>
      <c r="F4" s="128"/>
      <c r="G4" s="128"/>
      <c r="H4" s="128"/>
      <c r="I4" s="128"/>
      <c r="J4" s="129"/>
      <c r="K4" s="129"/>
      <c r="L4" s="129"/>
      <c r="M4" s="129"/>
      <c r="N4" s="129"/>
      <c r="O4" s="129"/>
      <c r="P4" s="129"/>
    </row>
    <row r="5" spans="1:19">
      <c r="A5" s="6" t="s">
        <v>5</v>
      </c>
      <c r="B5" s="208"/>
      <c r="C5" s="208"/>
      <c r="D5" s="129"/>
      <c r="E5" s="129"/>
      <c r="F5" s="129"/>
      <c r="G5" s="129"/>
      <c r="H5" s="129"/>
      <c r="I5" s="130"/>
      <c r="J5" s="128"/>
      <c r="K5" s="128"/>
      <c r="L5" s="128"/>
      <c r="M5" s="128"/>
      <c r="N5" s="128"/>
      <c r="O5" s="129"/>
      <c r="P5" s="129"/>
    </row>
    <row r="6" spans="1:19">
      <c r="A6" s="83" t="s">
        <v>51</v>
      </c>
      <c r="B6" s="209"/>
      <c r="C6" s="209"/>
      <c r="D6" s="131"/>
      <c r="E6" s="131"/>
      <c r="F6" s="131"/>
      <c r="G6" s="131"/>
      <c r="H6" s="131"/>
      <c r="I6" s="132"/>
      <c r="J6" s="128"/>
      <c r="K6" s="128"/>
      <c r="L6" s="128" t="s">
        <v>150</v>
      </c>
      <c r="M6" s="128" t="s">
        <v>151</v>
      </c>
      <c r="N6" s="128"/>
      <c r="O6" s="129"/>
      <c r="P6" s="129"/>
    </row>
    <row r="7" spans="1:19">
      <c r="A7" s="265" t="s">
        <v>71</v>
      </c>
      <c r="B7" s="265"/>
      <c r="C7" s="265">
        <v>45</v>
      </c>
      <c r="D7" s="135">
        <f>5+18+37</f>
        <v>60</v>
      </c>
      <c r="E7" s="135">
        <v>41</v>
      </c>
      <c r="F7" s="135">
        <v>24</v>
      </c>
      <c r="G7" s="135"/>
      <c r="H7" s="135"/>
      <c r="I7" s="135">
        <f>SUM(B7:H7)</f>
        <v>170</v>
      </c>
      <c r="J7" s="128"/>
      <c r="K7" s="128" t="s">
        <v>210</v>
      </c>
      <c r="L7" s="128">
        <f>I12</f>
        <v>502</v>
      </c>
      <c r="M7" s="128">
        <f>I17</f>
        <v>138</v>
      </c>
      <c r="N7" s="128">
        <f>SUM(L7:M7)</f>
        <v>640</v>
      </c>
      <c r="O7" s="344"/>
      <c r="P7" s="135" t="s">
        <v>193</v>
      </c>
      <c r="S7" s="232">
        <f>I12+I17</f>
        <v>640</v>
      </c>
    </row>
    <row r="8" spans="1:19">
      <c r="A8" s="1" t="s">
        <v>72</v>
      </c>
      <c r="B8" s="1"/>
      <c r="C8" s="1"/>
      <c r="D8" s="134">
        <f>37+5+21</f>
        <v>63</v>
      </c>
      <c r="E8" s="134">
        <f>36+19+6</f>
        <v>61</v>
      </c>
      <c r="F8" s="134">
        <f>27+4+5</f>
        <v>36</v>
      </c>
      <c r="G8" s="134"/>
      <c r="H8" s="134"/>
      <c r="I8" s="134">
        <f>SUM(B8:H8)</f>
        <v>160</v>
      </c>
      <c r="J8" s="128"/>
      <c r="K8" s="128" t="s">
        <v>211</v>
      </c>
      <c r="L8" s="128">
        <f>I27</f>
        <v>45</v>
      </c>
      <c r="M8" s="128"/>
      <c r="N8" s="128">
        <f>SUM(L8:M8)</f>
        <v>45</v>
      </c>
      <c r="O8" s="344"/>
      <c r="P8" s="135" t="s">
        <v>193</v>
      </c>
    </row>
    <row r="9" spans="1:19">
      <c r="A9" s="1" t="s">
        <v>126</v>
      </c>
      <c r="B9" s="1"/>
      <c r="C9" s="1">
        <v>37</v>
      </c>
      <c r="D9" s="134">
        <v>18</v>
      </c>
      <c r="E9" s="134">
        <v>31</v>
      </c>
      <c r="F9" s="134">
        <v>19</v>
      </c>
      <c r="G9" s="134"/>
      <c r="H9" s="134"/>
      <c r="I9" s="134">
        <f>SUM(B9:H9)</f>
        <v>105</v>
      </c>
      <c r="J9" s="128"/>
      <c r="K9" s="128" t="s">
        <v>64</v>
      </c>
      <c r="L9" s="128">
        <f>I33</f>
        <v>71</v>
      </c>
      <c r="M9" s="128">
        <f>I34</f>
        <v>20</v>
      </c>
      <c r="N9" s="128">
        <f>SUM(L9:M9)</f>
        <v>91</v>
      </c>
      <c r="O9" s="129"/>
      <c r="P9" s="129"/>
    </row>
    <row r="10" spans="1:19">
      <c r="A10" s="1" t="s">
        <v>231</v>
      </c>
      <c r="B10" s="1"/>
      <c r="C10" s="1">
        <v>40</v>
      </c>
      <c r="D10" s="134"/>
      <c r="E10" s="134"/>
      <c r="F10" s="134"/>
      <c r="G10" s="134"/>
      <c r="H10" s="134"/>
      <c r="I10" s="134">
        <f>SUM(B10:H10)</f>
        <v>40</v>
      </c>
      <c r="J10" s="128"/>
      <c r="K10" s="128" t="s">
        <v>267</v>
      </c>
      <c r="L10" s="82">
        <f>SUM(L7:L9)</f>
        <v>618</v>
      </c>
      <c r="M10" s="82">
        <f>SUM(M7:M9)</f>
        <v>158</v>
      </c>
      <c r="N10" s="82">
        <f>SUM(N7:N9)</f>
        <v>776</v>
      </c>
      <c r="O10" s="129"/>
      <c r="P10" s="129"/>
      <c r="Q10" s="19">
        <v>9</v>
      </c>
      <c r="R10" s="19">
        <f>SUM(I10:Q10)</f>
        <v>1601</v>
      </c>
    </row>
    <row r="11" spans="1:19">
      <c r="A11" s="3" t="s">
        <v>262</v>
      </c>
      <c r="B11" s="3"/>
      <c r="C11" s="3">
        <v>27</v>
      </c>
      <c r="D11" s="266"/>
      <c r="E11" s="266"/>
      <c r="F11" s="266"/>
      <c r="G11" s="266"/>
      <c r="H11" s="266"/>
      <c r="I11" s="133">
        <f>SUM(B11:H11)</f>
        <v>27</v>
      </c>
      <c r="J11" s="128"/>
      <c r="K11" s="128"/>
      <c r="L11" s="128"/>
      <c r="M11" s="128"/>
      <c r="N11" s="128"/>
      <c r="O11" s="129"/>
      <c r="P11" s="129"/>
    </row>
    <row r="12" spans="1:19">
      <c r="A12" s="15" t="s">
        <v>3</v>
      </c>
      <c r="B12" s="82">
        <f>SUM(B7:B11)</f>
        <v>0</v>
      </c>
      <c r="C12" s="82">
        <f t="shared" ref="C12:I12" si="0">SUM(C7:C11)</f>
        <v>149</v>
      </c>
      <c r="D12" s="82">
        <f t="shared" si="0"/>
        <v>141</v>
      </c>
      <c r="E12" s="82">
        <f t="shared" si="0"/>
        <v>133</v>
      </c>
      <c r="F12" s="82">
        <f t="shared" si="0"/>
        <v>79</v>
      </c>
      <c r="G12" s="82">
        <f t="shared" si="0"/>
        <v>0</v>
      </c>
      <c r="H12" s="82">
        <f t="shared" si="0"/>
        <v>0</v>
      </c>
      <c r="I12" s="82">
        <f t="shared" si="0"/>
        <v>502</v>
      </c>
      <c r="J12" s="128">
        <f>I7+I8+I9+I10</f>
        <v>475</v>
      </c>
      <c r="K12" s="82"/>
      <c r="L12" s="128"/>
      <c r="M12" s="128"/>
      <c r="N12" s="128"/>
      <c r="O12" s="156"/>
      <c r="P12" s="156" t="e">
        <f>D12+E12+F12+G12+H12+#REF!</f>
        <v>#REF!</v>
      </c>
    </row>
    <row r="13" spans="1:19">
      <c r="A13" s="20" t="s">
        <v>82</v>
      </c>
      <c r="B13" s="20"/>
      <c r="C13" s="20"/>
      <c r="D13" s="133">
        <f>12+4</f>
        <v>16</v>
      </c>
      <c r="E13" s="133">
        <v>12</v>
      </c>
      <c r="F13" s="133">
        <v>7</v>
      </c>
      <c r="G13" s="133">
        <v>8</v>
      </c>
      <c r="H13" s="133"/>
      <c r="I13" s="135">
        <f>SUM(B13:H13)</f>
        <v>43</v>
      </c>
      <c r="J13" s="128"/>
      <c r="K13" s="128" t="s">
        <v>56</v>
      </c>
      <c r="L13" s="128">
        <f>I19+I20+I22</f>
        <v>55</v>
      </c>
      <c r="M13" s="128">
        <f>I21</f>
        <v>1</v>
      </c>
      <c r="N13" s="128">
        <f>SUM(L13:M13)</f>
        <v>56</v>
      </c>
      <c r="O13" s="130"/>
      <c r="P13" s="133" t="s">
        <v>194</v>
      </c>
      <c r="Q13" s="273">
        <v>6</v>
      </c>
      <c r="R13" s="19">
        <f>SUM(I13:Q13)</f>
        <v>161</v>
      </c>
    </row>
    <row r="14" spans="1:19">
      <c r="A14" s="1" t="s">
        <v>282</v>
      </c>
      <c r="B14" s="1"/>
      <c r="C14" s="1">
        <v>15</v>
      </c>
      <c r="D14" s="134"/>
      <c r="E14" s="134"/>
      <c r="F14" s="134"/>
      <c r="G14" s="134"/>
      <c r="H14" s="134"/>
      <c r="I14" s="134">
        <f>SUM(B14:H14)</f>
        <v>15</v>
      </c>
      <c r="J14" s="128"/>
      <c r="K14" s="128" t="s">
        <v>212</v>
      </c>
      <c r="L14" s="128"/>
      <c r="M14" s="128"/>
      <c r="N14" s="128">
        <f>SUM(L14:M14)</f>
        <v>0</v>
      </c>
      <c r="O14" s="130"/>
      <c r="P14" s="133" t="s">
        <v>195</v>
      </c>
      <c r="Q14" s="19">
        <f>6+19</f>
        <v>25</v>
      </c>
      <c r="R14" s="19">
        <f>SUM(I14:Q14)</f>
        <v>40</v>
      </c>
    </row>
    <row r="15" spans="1:19">
      <c r="A15" s="1" t="s">
        <v>97</v>
      </c>
      <c r="B15" s="1"/>
      <c r="C15" s="1"/>
      <c r="D15" s="134">
        <v>13</v>
      </c>
      <c r="E15" s="134"/>
      <c r="F15" s="134">
        <v>19</v>
      </c>
      <c r="G15" s="134"/>
      <c r="H15" s="134"/>
      <c r="I15" s="134">
        <f>SUM(B15:H15)</f>
        <v>32</v>
      </c>
      <c r="J15" s="128"/>
      <c r="K15" s="128" t="s">
        <v>212</v>
      </c>
      <c r="L15" s="128"/>
      <c r="M15" s="128"/>
      <c r="N15" s="128">
        <f>SUM(L15:M15)</f>
        <v>0</v>
      </c>
      <c r="O15" s="130"/>
      <c r="P15" s="133" t="s">
        <v>195</v>
      </c>
      <c r="Q15" s="19">
        <f>6+19</f>
        <v>25</v>
      </c>
      <c r="R15" s="19">
        <f>SUM(I15:Q15)</f>
        <v>57</v>
      </c>
    </row>
    <row r="16" spans="1:19">
      <c r="A16" s="1" t="s">
        <v>98</v>
      </c>
      <c r="B16" s="1"/>
      <c r="C16" s="1">
        <v>13</v>
      </c>
      <c r="D16" s="134">
        <v>12</v>
      </c>
      <c r="E16" s="134">
        <v>18</v>
      </c>
      <c r="F16" s="134">
        <v>5</v>
      </c>
      <c r="G16" s="134"/>
      <c r="H16" s="134"/>
      <c r="I16" s="133">
        <f>SUM(B16:H16)</f>
        <v>48</v>
      </c>
      <c r="J16" s="128"/>
      <c r="K16" s="128" t="s">
        <v>213</v>
      </c>
      <c r="L16" s="128">
        <f>I29</f>
        <v>11</v>
      </c>
      <c r="M16" s="128"/>
      <c r="N16" s="128">
        <f>SUM(L16:M16)</f>
        <v>11</v>
      </c>
      <c r="O16" s="129"/>
      <c r="P16" s="129"/>
      <c r="Q16" s="19">
        <v>9</v>
      </c>
      <c r="R16" s="19">
        <f>SUM(I16:Q16)</f>
        <v>79</v>
      </c>
    </row>
    <row r="17" spans="1:20">
      <c r="A17" s="15" t="s">
        <v>3</v>
      </c>
      <c r="B17" s="128">
        <f>SUM(B13:B16)</f>
        <v>0</v>
      </c>
      <c r="C17" s="128">
        <f t="shared" ref="C17:I17" si="1">SUM(C13:C16)</f>
        <v>28</v>
      </c>
      <c r="D17" s="128">
        <f t="shared" si="1"/>
        <v>41</v>
      </c>
      <c r="E17" s="128">
        <f t="shared" si="1"/>
        <v>30</v>
      </c>
      <c r="F17" s="128">
        <f t="shared" si="1"/>
        <v>31</v>
      </c>
      <c r="G17" s="128">
        <f t="shared" si="1"/>
        <v>8</v>
      </c>
      <c r="H17" s="128">
        <f t="shared" si="1"/>
        <v>0</v>
      </c>
      <c r="I17" s="128">
        <f t="shared" si="1"/>
        <v>138</v>
      </c>
      <c r="J17" s="128"/>
      <c r="K17" s="128" t="s">
        <v>268</v>
      </c>
      <c r="L17" s="82">
        <f>SUM(L13:L16)</f>
        <v>66</v>
      </c>
      <c r="M17" s="82">
        <f>SUM(M13:M16)</f>
        <v>1</v>
      </c>
      <c r="N17" s="82">
        <f>SUM(N13:N16)</f>
        <v>67</v>
      </c>
      <c r="O17" s="129"/>
      <c r="P17" s="129"/>
    </row>
    <row r="18" spans="1:20">
      <c r="A18" s="84" t="s">
        <v>11</v>
      </c>
      <c r="B18" s="210"/>
      <c r="C18" s="210"/>
      <c r="D18" s="135"/>
      <c r="E18" s="135"/>
      <c r="F18" s="135"/>
      <c r="G18" s="135"/>
      <c r="H18" s="135"/>
      <c r="I18" s="135"/>
      <c r="J18" s="128"/>
      <c r="K18" s="128" t="s">
        <v>59</v>
      </c>
      <c r="L18" s="82">
        <f>L10+L17</f>
        <v>684</v>
      </c>
      <c r="M18" s="82">
        <f>M10+M17</f>
        <v>159</v>
      </c>
      <c r="N18" s="82">
        <f>N10+N17</f>
        <v>843</v>
      </c>
      <c r="O18" s="129"/>
      <c r="P18" s="129"/>
    </row>
    <row r="19" spans="1:20">
      <c r="A19" s="2" t="s">
        <v>73</v>
      </c>
      <c r="B19" s="2"/>
      <c r="C19" s="2"/>
      <c r="D19" s="134"/>
      <c r="E19" s="134"/>
      <c r="F19" s="134">
        <v>2</v>
      </c>
      <c r="G19" s="134"/>
      <c r="H19" s="134"/>
      <c r="I19" s="134">
        <f>SUM(B19:H19)</f>
        <v>2</v>
      </c>
      <c r="J19" s="133"/>
      <c r="K19" s="133"/>
      <c r="L19" s="133"/>
      <c r="M19" s="133"/>
      <c r="N19" s="133"/>
      <c r="O19" s="133"/>
      <c r="P19" s="133"/>
      <c r="Q19" s="273">
        <v>3</v>
      </c>
      <c r="R19" s="19">
        <f>SUM(I19:Q19)</f>
        <v>5</v>
      </c>
      <c r="T19" s="232">
        <f>I23+I31</f>
        <v>67</v>
      </c>
    </row>
    <row r="20" spans="1:20">
      <c r="A20" s="3" t="s">
        <v>173</v>
      </c>
      <c r="B20" s="211"/>
      <c r="C20" s="211">
        <v>1</v>
      </c>
      <c r="D20" s="133">
        <v>1</v>
      </c>
      <c r="E20" s="133">
        <v>5</v>
      </c>
      <c r="F20" s="133">
        <v>1</v>
      </c>
      <c r="G20" s="133"/>
      <c r="H20" s="133"/>
      <c r="I20" s="134">
        <f>SUM(B20:H20)</f>
        <v>8</v>
      </c>
      <c r="J20" s="129"/>
      <c r="K20" s="129"/>
      <c r="L20" s="129"/>
      <c r="M20" s="129"/>
      <c r="N20" s="129"/>
      <c r="O20" s="129"/>
      <c r="P20" s="129"/>
      <c r="Q20" s="19">
        <v>3</v>
      </c>
      <c r="R20" s="19">
        <f>SUM(I20:Q20)</f>
        <v>11</v>
      </c>
    </row>
    <row r="21" spans="1:20">
      <c r="A21" s="3" t="s">
        <v>171</v>
      </c>
      <c r="B21" s="211"/>
      <c r="C21" s="211"/>
      <c r="D21" s="133">
        <v>1</v>
      </c>
      <c r="E21" s="133"/>
      <c r="F21" s="133"/>
      <c r="G21" s="133"/>
      <c r="H21" s="133"/>
      <c r="I21" s="134">
        <f>SUM(B21:H21)</f>
        <v>1</v>
      </c>
      <c r="J21" s="129"/>
      <c r="K21" s="129"/>
      <c r="L21" s="129"/>
      <c r="M21" s="129"/>
      <c r="N21" s="129"/>
      <c r="O21" s="129"/>
      <c r="P21" s="129"/>
      <c r="Q21" s="19">
        <v>3</v>
      </c>
      <c r="R21" s="19">
        <f>SUM(I21:Q21)</f>
        <v>4</v>
      </c>
    </row>
    <row r="22" spans="1:20">
      <c r="A22" s="2" t="s">
        <v>174</v>
      </c>
      <c r="B22" s="2"/>
      <c r="C22" s="2">
        <v>25</v>
      </c>
      <c r="D22" s="134">
        <v>20</v>
      </c>
      <c r="E22" s="134"/>
      <c r="F22" s="134"/>
      <c r="G22" s="134"/>
      <c r="H22" s="134"/>
      <c r="I22" s="133">
        <f>SUM(B22:H22)</f>
        <v>45</v>
      </c>
      <c r="J22" s="129"/>
      <c r="K22" s="129"/>
      <c r="L22" s="129"/>
      <c r="M22" s="129"/>
      <c r="N22" s="129"/>
      <c r="O22" s="129"/>
      <c r="P22" s="129"/>
    </row>
    <row r="23" spans="1:20">
      <c r="A23" s="15" t="s">
        <v>3</v>
      </c>
      <c r="B23" s="128">
        <f t="shared" ref="B23:H23" si="2">SUM(B19:B22)</f>
        <v>0</v>
      </c>
      <c r="C23" s="128">
        <f t="shared" si="2"/>
        <v>26</v>
      </c>
      <c r="D23" s="128">
        <f t="shared" si="2"/>
        <v>22</v>
      </c>
      <c r="E23" s="128">
        <f t="shared" si="2"/>
        <v>5</v>
      </c>
      <c r="F23" s="128">
        <f t="shared" si="2"/>
        <v>3</v>
      </c>
      <c r="G23" s="128">
        <f t="shared" si="2"/>
        <v>0</v>
      </c>
      <c r="H23" s="128">
        <f t="shared" si="2"/>
        <v>0</v>
      </c>
      <c r="I23" s="128">
        <f>SUM(B23:H23)</f>
        <v>56</v>
      </c>
      <c r="J23" s="129"/>
      <c r="K23" s="129"/>
      <c r="L23" s="129"/>
      <c r="M23" s="129"/>
      <c r="N23" s="129"/>
      <c r="O23" s="129"/>
      <c r="P23" s="129"/>
    </row>
    <row r="24" spans="1:20">
      <c r="A24" s="84" t="s">
        <v>19</v>
      </c>
      <c r="B24" s="210"/>
      <c r="C24" s="210"/>
      <c r="D24" s="133"/>
      <c r="E24" s="133"/>
      <c r="F24" s="133"/>
      <c r="G24" s="133"/>
      <c r="H24" s="133"/>
      <c r="I24" s="133"/>
      <c r="J24" s="129"/>
      <c r="K24" s="129">
        <f>45+26</f>
        <v>71</v>
      </c>
      <c r="L24" s="129"/>
      <c r="M24" s="129"/>
      <c r="N24" s="129"/>
      <c r="O24" s="129"/>
      <c r="P24" s="129"/>
    </row>
    <row r="25" spans="1:20">
      <c r="A25" s="2" t="s">
        <v>74</v>
      </c>
      <c r="B25" s="2"/>
      <c r="C25" s="2">
        <v>20</v>
      </c>
      <c r="D25" s="134">
        <v>15</v>
      </c>
      <c r="E25" s="134">
        <v>5</v>
      </c>
      <c r="F25" s="134">
        <v>5</v>
      </c>
      <c r="G25" s="134"/>
      <c r="H25" s="134"/>
      <c r="I25" s="134">
        <f t="shared" ref="I25" si="3">SUM(B25:H25)</f>
        <v>45</v>
      </c>
      <c r="J25" s="129"/>
      <c r="K25" s="129">
        <f>29+12</f>
        <v>41</v>
      </c>
      <c r="L25" s="129"/>
      <c r="M25" s="129">
        <f>I12+I23+I27+I31+I35</f>
        <v>705</v>
      </c>
      <c r="N25" s="129"/>
      <c r="O25" s="129"/>
      <c r="P25" s="129"/>
    </row>
    <row r="26" spans="1:20">
      <c r="A26" s="3"/>
      <c r="B26" s="211"/>
      <c r="C26" s="211"/>
      <c r="D26" s="133"/>
      <c r="E26" s="133"/>
      <c r="F26" s="133"/>
      <c r="G26" s="133"/>
      <c r="H26" s="133"/>
      <c r="I26" s="133"/>
      <c r="J26" s="129"/>
      <c r="K26" s="129">
        <f>SUM(K24:K25)</f>
        <v>112</v>
      </c>
      <c r="L26" s="129"/>
      <c r="M26" s="129">
        <f>I17+I34</f>
        <v>158</v>
      </c>
      <c r="N26" s="129">
        <f>20</f>
        <v>20</v>
      </c>
      <c r="O26" s="129">
        <f>M26-20</f>
        <v>138</v>
      </c>
      <c r="P26" s="129"/>
    </row>
    <row r="27" spans="1:20">
      <c r="A27" s="15" t="s">
        <v>3</v>
      </c>
      <c r="B27" s="128">
        <f t="shared" ref="B27:H27" si="4">SUM(B25:B26)</f>
        <v>0</v>
      </c>
      <c r="C27" s="128">
        <f t="shared" si="4"/>
        <v>20</v>
      </c>
      <c r="D27" s="128">
        <f t="shared" si="4"/>
        <v>15</v>
      </c>
      <c r="E27" s="128">
        <f t="shared" si="4"/>
        <v>5</v>
      </c>
      <c r="F27" s="128">
        <f t="shared" si="4"/>
        <v>5</v>
      </c>
      <c r="G27" s="128">
        <f t="shared" si="4"/>
        <v>0</v>
      </c>
      <c r="H27" s="128">
        <f t="shared" si="4"/>
        <v>0</v>
      </c>
      <c r="I27" s="128">
        <f>SUM(B27:H27)</f>
        <v>45</v>
      </c>
      <c r="J27" s="129"/>
      <c r="K27" s="129"/>
      <c r="L27" s="129"/>
      <c r="M27" s="129">
        <f>SUM(M25:M26)</f>
        <v>863</v>
      </c>
      <c r="N27" s="129"/>
      <c r="O27" s="129"/>
      <c r="P27" s="129"/>
    </row>
    <row r="28" spans="1:20">
      <c r="A28" s="84" t="s">
        <v>15</v>
      </c>
      <c r="B28" s="210"/>
      <c r="C28" s="210"/>
      <c r="D28" s="133"/>
      <c r="E28" s="133"/>
      <c r="F28" s="133"/>
      <c r="G28" s="133"/>
      <c r="H28" s="133"/>
      <c r="I28" s="133"/>
      <c r="J28" s="129"/>
      <c r="K28" s="129"/>
      <c r="L28" s="129"/>
      <c r="M28" s="129">
        <v>329</v>
      </c>
      <c r="N28" s="129"/>
      <c r="O28" s="129"/>
      <c r="P28" s="129"/>
    </row>
    <row r="29" spans="1:20">
      <c r="A29" s="2" t="s">
        <v>130</v>
      </c>
      <c r="B29" s="2"/>
      <c r="C29" s="2"/>
      <c r="D29" s="134"/>
      <c r="E29" s="134">
        <v>4</v>
      </c>
      <c r="F29" s="134">
        <v>6</v>
      </c>
      <c r="G29" s="134">
        <v>1</v>
      </c>
      <c r="H29" s="134"/>
      <c r="I29" s="134">
        <f t="shared" ref="I29" si="5">SUM(B29:H29)</f>
        <v>11</v>
      </c>
      <c r="J29" s="129"/>
      <c r="K29" s="129"/>
      <c r="L29" s="129"/>
      <c r="M29" s="129">
        <f>SUM(M27:M28)</f>
        <v>1192</v>
      </c>
      <c r="N29" s="129"/>
      <c r="O29" s="129"/>
      <c r="P29" s="129"/>
      <c r="Q29" s="19">
        <v>5</v>
      </c>
      <c r="R29" s="19">
        <f>SUM(I29:Q29)</f>
        <v>1208</v>
      </c>
    </row>
    <row r="30" spans="1:20">
      <c r="A30" s="3"/>
      <c r="B30" s="211"/>
      <c r="C30" s="211"/>
      <c r="D30" s="133"/>
      <c r="E30" s="133"/>
      <c r="F30" s="133"/>
      <c r="G30" s="133"/>
      <c r="H30" s="133"/>
      <c r="I30" s="133"/>
      <c r="J30" s="313"/>
      <c r="K30" s="314"/>
      <c r="L30" s="315"/>
      <c r="M30" s="129"/>
      <c r="N30" s="129"/>
      <c r="O30" s="129"/>
      <c r="P30" s="129"/>
    </row>
    <row r="31" spans="1:20">
      <c r="A31" s="15" t="s">
        <v>3</v>
      </c>
      <c r="B31" s="128">
        <f t="shared" ref="B31:H31" si="6">SUM(B29:B30)</f>
        <v>0</v>
      </c>
      <c r="C31" s="128">
        <f t="shared" si="6"/>
        <v>0</v>
      </c>
      <c r="D31" s="128">
        <f t="shared" si="6"/>
        <v>0</v>
      </c>
      <c r="E31" s="128">
        <f t="shared" si="6"/>
        <v>4</v>
      </c>
      <c r="F31" s="128">
        <f t="shared" si="6"/>
        <v>6</v>
      </c>
      <c r="G31" s="128">
        <f t="shared" si="6"/>
        <v>1</v>
      </c>
      <c r="H31" s="128">
        <f t="shared" si="6"/>
        <v>0</v>
      </c>
      <c r="I31" s="128">
        <f>SUM(B31:H31)</f>
        <v>11</v>
      </c>
      <c r="J31" s="316"/>
      <c r="K31" s="317" t="s">
        <v>134</v>
      </c>
      <c r="L31" s="318">
        <f>M10+M17</f>
        <v>159</v>
      </c>
      <c r="M31" s="129"/>
      <c r="N31" s="129"/>
      <c r="O31" s="129"/>
      <c r="P31" s="129"/>
    </row>
    <row r="32" spans="1:20">
      <c r="A32" s="84" t="s">
        <v>26</v>
      </c>
      <c r="B32" s="210"/>
      <c r="C32" s="210"/>
      <c r="D32" s="133"/>
      <c r="E32" s="133"/>
      <c r="F32" s="133"/>
      <c r="G32" s="133"/>
      <c r="H32" s="133"/>
      <c r="I32" s="133"/>
      <c r="J32" s="316"/>
      <c r="K32" s="317" t="s">
        <v>51</v>
      </c>
      <c r="L32" s="318">
        <f>L10+L17</f>
        <v>684</v>
      </c>
      <c r="M32" s="129">
        <f>20+1</f>
        <v>21</v>
      </c>
      <c r="N32" s="129"/>
      <c r="O32" s="129"/>
      <c r="P32" s="129"/>
    </row>
    <row r="33" spans="1:18">
      <c r="A33" s="2" t="s">
        <v>57</v>
      </c>
      <c r="B33" s="2"/>
      <c r="C33" s="2">
        <v>40</v>
      </c>
      <c r="D33" s="134">
        <f>6+2</f>
        <v>8</v>
      </c>
      <c r="E33" s="134">
        <v>14</v>
      </c>
      <c r="F33" s="134">
        <v>9</v>
      </c>
      <c r="G33" s="134"/>
      <c r="H33" s="134"/>
      <c r="I33" s="134">
        <f>SUM(B33:H33)</f>
        <v>71</v>
      </c>
      <c r="J33" s="316"/>
      <c r="K33" s="317" t="s">
        <v>237</v>
      </c>
      <c r="L33" s="318">
        <f>I39</f>
        <v>67</v>
      </c>
      <c r="M33" s="129"/>
      <c r="N33" s="129"/>
      <c r="O33" s="129"/>
      <c r="P33" s="129"/>
      <c r="Q33" s="19">
        <v>4</v>
      </c>
      <c r="R33" s="19">
        <f>SUM(I33:Q33)</f>
        <v>142</v>
      </c>
    </row>
    <row r="34" spans="1:18">
      <c r="A34" s="3" t="s">
        <v>172</v>
      </c>
      <c r="B34" s="211"/>
      <c r="C34" s="211">
        <v>12</v>
      </c>
      <c r="D34" s="133">
        <v>8</v>
      </c>
      <c r="E34" s="133"/>
      <c r="F34" s="133"/>
      <c r="G34" s="136"/>
      <c r="H34" s="136"/>
      <c r="I34" s="133">
        <f t="shared" ref="I34" si="7">SUM(B34:H34)</f>
        <v>20</v>
      </c>
      <c r="J34" s="319"/>
      <c r="K34" s="320"/>
      <c r="L34" s="321">
        <f>SUM(L31:L33)</f>
        <v>910</v>
      </c>
      <c r="M34" s="129"/>
      <c r="N34" s="129"/>
      <c r="O34" s="129"/>
      <c r="P34" s="129"/>
    </row>
    <row r="35" spans="1:18">
      <c r="A35" s="15" t="s">
        <v>3</v>
      </c>
      <c r="B35" s="128">
        <f t="shared" ref="B35:H35" si="8">SUM(B33:B34)</f>
        <v>0</v>
      </c>
      <c r="C35" s="128">
        <f t="shared" si="8"/>
        <v>52</v>
      </c>
      <c r="D35" s="128">
        <f t="shared" si="8"/>
        <v>16</v>
      </c>
      <c r="E35" s="128">
        <f t="shared" si="8"/>
        <v>14</v>
      </c>
      <c r="F35" s="128">
        <f t="shared" si="8"/>
        <v>9</v>
      </c>
      <c r="G35" s="128">
        <f t="shared" si="8"/>
        <v>0</v>
      </c>
      <c r="H35" s="128">
        <f t="shared" si="8"/>
        <v>0</v>
      </c>
      <c r="I35" s="128">
        <f>SUM(B35:H35)</f>
        <v>91</v>
      </c>
      <c r="J35" s="129"/>
      <c r="K35" s="129"/>
      <c r="L35" s="129"/>
      <c r="M35" s="129"/>
      <c r="N35" s="129"/>
      <c r="O35" s="129"/>
      <c r="P35" s="129"/>
    </row>
    <row r="36" spans="1:18">
      <c r="A36" s="210" t="s">
        <v>127</v>
      </c>
      <c r="B36" s="267"/>
      <c r="C36" s="267"/>
      <c r="D36" s="129"/>
      <c r="E36" s="129"/>
      <c r="F36" s="129"/>
      <c r="G36" s="129"/>
      <c r="H36" s="129"/>
      <c r="I36" s="133"/>
      <c r="J36" s="129"/>
      <c r="K36" s="129"/>
      <c r="L36" s="129"/>
      <c r="M36" s="129"/>
      <c r="N36" s="129"/>
      <c r="O36" s="129"/>
      <c r="P36" s="129"/>
    </row>
    <row r="37" spans="1:18">
      <c r="A37" s="305" t="s">
        <v>128</v>
      </c>
      <c r="B37" s="306"/>
      <c r="C37" s="306"/>
      <c r="D37" s="298"/>
      <c r="E37" s="298"/>
      <c r="F37" s="135"/>
      <c r="G37" s="135"/>
      <c r="H37" s="135"/>
      <c r="I37" s="135">
        <f>SUM(B37:H37)</f>
        <v>0</v>
      </c>
      <c r="J37" s="268"/>
      <c r="K37" s="268"/>
      <c r="L37" s="268"/>
      <c r="M37" s="268"/>
      <c r="N37" s="268"/>
      <c r="O37" s="268"/>
      <c r="P37" s="268"/>
      <c r="Q37" s="283"/>
    </row>
    <row r="38" spans="1:18">
      <c r="A38" s="85" t="s">
        <v>129</v>
      </c>
      <c r="B38" s="303"/>
      <c r="C38" s="303"/>
      <c r="D38" s="304">
        <f>21+23</f>
        <v>44</v>
      </c>
      <c r="E38" s="304">
        <v>23</v>
      </c>
      <c r="F38" s="128"/>
      <c r="G38" s="128"/>
      <c r="H38" s="128"/>
      <c r="I38" s="128">
        <f>SUM(B38:H38)</f>
        <v>67</v>
      </c>
      <c r="J38" s="129"/>
      <c r="K38" s="129"/>
      <c r="L38" s="129"/>
      <c r="M38" s="129"/>
      <c r="N38" s="129"/>
      <c r="O38" s="129"/>
      <c r="P38" s="129"/>
    </row>
    <row r="39" spans="1:18">
      <c r="A39" s="85"/>
      <c r="B39" s="212"/>
      <c r="C39" s="212"/>
      <c r="D39" s="137">
        <f>SUM(D37:D38)</f>
        <v>44</v>
      </c>
      <c r="E39" s="137">
        <f>SUM(E37:E38)</f>
        <v>23</v>
      </c>
      <c r="F39" s="128"/>
      <c r="G39" s="128"/>
      <c r="H39" s="128"/>
      <c r="I39" s="135">
        <f>SUM(B39:H39)</f>
        <v>67</v>
      </c>
      <c r="J39" s="129"/>
      <c r="K39" s="129"/>
      <c r="L39" s="129"/>
      <c r="M39" s="129"/>
      <c r="N39" s="129"/>
      <c r="O39" s="129"/>
      <c r="P39" s="129"/>
    </row>
    <row r="40" spans="1:18">
      <c r="A40" s="14" t="s">
        <v>36</v>
      </c>
      <c r="B40" s="14">
        <f t="shared" ref="B40:H40" si="9">SUM(B12,B17,B23,B27,B31,B35,B39)</f>
        <v>0</v>
      </c>
      <c r="C40" s="14">
        <f t="shared" si="9"/>
        <v>275</v>
      </c>
      <c r="D40" s="14">
        <f t="shared" si="9"/>
        <v>279</v>
      </c>
      <c r="E40" s="14">
        <f t="shared" si="9"/>
        <v>214</v>
      </c>
      <c r="F40" s="14">
        <f t="shared" si="9"/>
        <v>133</v>
      </c>
      <c r="G40" s="14">
        <f t="shared" si="9"/>
        <v>9</v>
      </c>
      <c r="H40" s="14">
        <f t="shared" si="9"/>
        <v>0</v>
      </c>
      <c r="I40" s="128">
        <f>SUM(B40:H40)</f>
        <v>910</v>
      </c>
      <c r="J40" s="133">
        <v>46</v>
      </c>
      <c r="K40" s="133">
        <f>27+44+8+33+39+45</f>
        <v>196</v>
      </c>
      <c r="L40" s="133"/>
      <c r="M40" s="133"/>
      <c r="N40" s="133"/>
      <c r="O40" s="133"/>
      <c r="P40" s="133"/>
      <c r="Q40" s="284">
        <f>SUM(Q7:Q39)</f>
        <v>92</v>
      </c>
      <c r="R40" s="86">
        <f>SUM(I40:Q40)</f>
        <v>1244</v>
      </c>
    </row>
    <row r="41" spans="1:18">
      <c r="E41" s="298" t="s">
        <v>269</v>
      </c>
      <c r="F41" s="135" t="s">
        <v>270</v>
      </c>
      <c r="G41" s="138" t="s">
        <v>3</v>
      </c>
      <c r="K41" s="138">
        <f>5+5+21+20</f>
        <v>51</v>
      </c>
    </row>
    <row r="42" spans="1:18">
      <c r="A42" s="269" t="s">
        <v>40</v>
      </c>
      <c r="B42" s="269"/>
      <c r="C42" s="269"/>
      <c r="D42" s="128">
        <f>I39</f>
        <v>67</v>
      </c>
      <c r="E42" s="128">
        <f>D42</f>
        <v>67</v>
      </c>
      <c r="F42" s="128"/>
      <c r="G42" s="128">
        <f>SUM(E42:F42)</f>
        <v>67</v>
      </c>
      <c r="J42" s="138">
        <f>I40+J40</f>
        <v>956</v>
      </c>
      <c r="K42" s="138">
        <f>27+5+6+38+19+6+39+5+21</f>
        <v>166</v>
      </c>
    </row>
    <row r="43" spans="1:18">
      <c r="A43" s="269" t="s">
        <v>51</v>
      </c>
      <c r="B43" s="269"/>
      <c r="C43" s="269"/>
      <c r="D43" s="128">
        <f>I40-(I39+D44)</f>
        <v>684</v>
      </c>
      <c r="E43" s="128">
        <f>L10</f>
        <v>618</v>
      </c>
      <c r="F43" s="128">
        <f>L17</f>
        <v>66</v>
      </c>
      <c r="G43" s="128">
        <f>SUM(E43:F43)</f>
        <v>684</v>
      </c>
      <c r="K43" s="138">
        <v>2</v>
      </c>
    </row>
    <row r="44" spans="1:18">
      <c r="A44" s="269" t="s">
        <v>151</v>
      </c>
      <c r="B44" s="269"/>
      <c r="C44" s="269"/>
      <c r="D44" s="128">
        <f>I17+I21+I34</f>
        <v>159</v>
      </c>
      <c r="E44" s="128">
        <f>M10</f>
        <v>158</v>
      </c>
      <c r="F44" s="128">
        <f>M17</f>
        <v>1</v>
      </c>
      <c r="G44" s="128">
        <f>SUM(E44:F44)</f>
        <v>159</v>
      </c>
      <c r="K44" s="138">
        <f>9+14+10+14+40</f>
        <v>87</v>
      </c>
    </row>
    <row r="45" spans="1:18">
      <c r="A45" s="270" t="s">
        <v>3</v>
      </c>
      <c r="B45" s="270"/>
      <c r="C45" s="270"/>
      <c r="D45" s="128">
        <f>SUM(D42:D44)</f>
        <v>910</v>
      </c>
      <c r="E45" s="128"/>
      <c r="F45" s="128"/>
      <c r="G45" s="128">
        <f>SUM(G42:G44)</f>
        <v>910</v>
      </c>
      <c r="K45" s="138">
        <f>5+7+8</f>
        <v>20</v>
      </c>
    </row>
    <row r="46" spans="1:18">
      <c r="K46" s="138">
        <f>1+5+1+1</f>
        <v>8</v>
      </c>
    </row>
    <row r="47" spans="1:18">
      <c r="A47" s="335" t="s">
        <v>279</v>
      </c>
      <c r="K47" s="138">
        <f>23+34+18+37</f>
        <v>112</v>
      </c>
    </row>
    <row r="48" spans="1:18">
      <c r="K48" s="138">
        <f>20+25</f>
        <v>45</v>
      </c>
    </row>
    <row r="49" spans="11:11">
      <c r="K49" s="138">
        <v>40</v>
      </c>
    </row>
    <row r="50" spans="11:11">
      <c r="K50" s="138">
        <v>27</v>
      </c>
    </row>
    <row r="51" spans="11:11">
      <c r="K51" s="138">
        <f>9+10+15+12+4+15</f>
        <v>65</v>
      </c>
    </row>
    <row r="52" spans="11:11">
      <c r="K52" s="138">
        <f>19+13</f>
        <v>32</v>
      </c>
    </row>
    <row r="53" spans="11:11">
      <c r="K53" s="138">
        <f>6+18+12+13</f>
        <v>49</v>
      </c>
    </row>
    <row r="54" spans="11:11">
      <c r="K54" s="138">
        <v>1</v>
      </c>
    </row>
    <row r="55" spans="11:11">
      <c r="K55" s="138">
        <f>8+12</f>
        <v>20</v>
      </c>
    </row>
    <row r="56" spans="11:11">
      <c r="K56" s="138">
        <f>23+22+202</f>
        <v>247</v>
      </c>
    </row>
    <row r="57" spans="11:11">
      <c r="K57" s="138">
        <f>SUM(K40:K56)</f>
        <v>1168</v>
      </c>
    </row>
  </sheetData>
  <mergeCells count="2">
    <mergeCell ref="A1:I1"/>
    <mergeCell ref="A3:A4"/>
  </mergeCells>
  <printOptions horizontalCentered="1"/>
  <pageMargins left="0.48" right="0.56999999999999995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topLeftCell="A13" zoomScale="130" zoomScaleNormal="130" workbookViewId="0">
      <selection activeCell="F26" sqref="F26"/>
    </sheetView>
  </sheetViews>
  <sheetFormatPr defaultRowHeight="21"/>
  <cols>
    <col min="1" max="1" width="18.85546875" style="148" customWidth="1"/>
    <col min="2" max="16384" width="9.140625" style="148"/>
  </cols>
  <sheetData>
    <row r="1" spans="1:8" ht="23.25">
      <c r="A1" s="891" t="s">
        <v>180</v>
      </c>
      <c r="B1" s="892"/>
      <c r="C1" s="892"/>
      <c r="D1" s="892"/>
      <c r="E1" s="892"/>
      <c r="F1" s="892"/>
      <c r="G1" s="892"/>
      <c r="H1" s="893"/>
    </row>
    <row r="2" spans="1:8" ht="23.25">
      <c r="A2" s="894" t="s">
        <v>181</v>
      </c>
      <c r="B2" s="895"/>
      <c r="C2" s="895"/>
      <c r="D2" s="895"/>
      <c r="E2" s="895"/>
      <c r="F2" s="895"/>
      <c r="G2" s="895"/>
      <c r="H2" s="896"/>
    </row>
    <row r="4" spans="1:8" s="153" customFormat="1">
      <c r="A4" s="890" t="s">
        <v>43</v>
      </c>
      <c r="B4" s="889" t="s">
        <v>182</v>
      </c>
      <c r="C4" s="889"/>
      <c r="D4" s="889"/>
      <c r="E4" s="889"/>
      <c r="F4" s="889"/>
      <c r="G4" s="889"/>
      <c r="H4" s="889"/>
    </row>
    <row r="5" spans="1:8" s="153" customFormat="1">
      <c r="A5" s="890"/>
      <c r="B5" s="152">
        <v>2555</v>
      </c>
      <c r="C5" s="225">
        <v>2556</v>
      </c>
      <c r="D5" s="152">
        <v>2557</v>
      </c>
      <c r="E5" s="152">
        <v>2558</v>
      </c>
      <c r="F5" s="152">
        <v>2559</v>
      </c>
      <c r="G5" s="152">
        <v>2560</v>
      </c>
      <c r="H5" s="152">
        <v>2561</v>
      </c>
    </row>
    <row r="6" spans="1:8">
      <c r="A6" s="149" t="s">
        <v>183</v>
      </c>
      <c r="B6" s="149">
        <v>31</v>
      </c>
      <c r="C6" s="226">
        <v>27</v>
      </c>
      <c r="D6" s="149">
        <v>25</v>
      </c>
      <c r="E6" s="149">
        <v>25</v>
      </c>
      <c r="F6" s="149">
        <v>25</v>
      </c>
      <c r="G6" s="149">
        <v>25</v>
      </c>
      <c r="H6" s="149">
        <v>25</v>
      </c>
    </row>
    <row r="7" spans="1:8">
      <c r="A7" s="150" t="s">
        <v>184</v>
      </c>
      <c r="B7" s="150">
        <v>24</v>
      </c>
      <c r="C7" s="227">
        <v>30</v>
      </c>
      <c r="D7" s="150">
        <v>27</v>
      </c>
      <c r="E7" s="150">
        <v>25</v>
      </c>
      <c r="F7" s="150">
        <v>25</v>
      </c>
      <c r="G7" s="150">
        <v>25</v>
      </c>
      <c r="H7" s="150">
        <v>25</v>
      </c>
    </row>
    <row r="8" spans="1:8">
      <c r="A8" s="150" t="s">
        <v>185</v>
      </c>
      <c r="B8" s="150">
        <v>19</v>
      </c>
      <c r="C8" s="227">
        <v>23</v>
      </c>
      <c r="D8" s="150">
        <v>30</v>
      </c>
      <c r="E8" s="150">
        <v>25</v>
      </c>
      <c r="F8" s="150">
        <v>25</v>
      </c>
      <c r="G8" s="150">
        <v>25</v>
      </c>
      <c r="H8" s="150">
        <v>25</v>
      </c>
    </row>
    <row r="9" spans="1:8">
      <c r="A9" s="150" t="s">
        <v>186</v>
      </c>
      <c r="B9" s="150"/>
      <c r="C9" s="227">
        <v>24</v>
      </c>
      <c r="D9" s="150">
        <v>23</v>
      </c>
      <c r="E9" s="150">
        <v>31</v>
      </c>
      <c r="F9" s="150">
        <v>25</v>
      </c>
      <c r="G9" s="150">
        <v>25</v>
      </c>
      <c r="H9" s="150">
        <v>25</v>
      </c>
    </row>
    <row r="10" spans="1:8">
      <c r="A10" s="150" t="s">
        <v>187</v>
      </c>
      <c r="B10" s="150"/>
      <c r="C10" s="227"/>
      <c r="D10" s="150">
        <v>24</v>
      </c>
      <c r="E10" s="150">
        <v>24</v>
      </c>
      <c r="F10" s="150">
        <v>31</v>
      </c>
      <c r="G10" s="150">
        <v>25</v>
      </c>
      <c r="H10" s="150">
        <v>25</v>
      </c>
    </row>
    <row r="11" spans="1:8">
      <c r="A11" s="150" t="s">
        <v>188</v>
      </c>
      <c r="B11" s="150"/>
      <c r="C11" s="227"/>
      <c r="D11" s="150"/>
      <c r="E11" s="150">
        <v>19</v>
      </c>
      <c r="F11" s="150">
        <v>24</v>
      </c>
      <c r="G11" s="150">
        <v>31</v>
      </c>
      <c r="H11" s="150">
        <v>25</v>
      </c>
    </row>
    <row r="12" spans="1:8">
      <c r="A12" s="150" t="s">
        <v>189</v>
      </c>
      <c r="B12" s="150"/>
      <c r="C12" s="227"/>
      <c r="D12" s="150"/>
      <c r="E12" s="150"/>
      <c r="F12" s="150">
        <v>19</v>
      </c>
      <c r="G12" s="150">
        <v>24</v>
      </c>
      <c r="H12" s="150">
        <v>31</v>
      </c>
    </row>
    <row r="13" spans="1:8">
      <c r="A13" s="150" t="s">
        <v>190</v>
      </c>
      <c r="B13" s="150"/>
      <c r="C13" s="227"/>
      <c r="D13" s="150"/>
      <c r="E13" s="150"/>
      <c r="F13" s="150"/>
      <c r="G13" s="150">
        <v>19</v>
      </c>
      <c r="H13" s="150">
        <v>24</v>
      </c>
    </row>
    <row r="14" spans="1:8">
      <c r="A14" s="151" t="s">
        <v>191</v>
      </c>
      <c r="B14" s="151"/>
      <c r="C14" s="228"/>
      <c r="D14" s="151"/>
      <c r="E14" s="151"/>
      <c r="F14" s="151"/>
      <c r="G14" s="151"/>
      <c r="H14" s="151">
        <v>19</v>
      </c>
    </row>
    <row r="15" spans="1:8">
      <c r="A15" s="152" t="s">
        <v>3</v>
      </c>
      <c r="B15" s="154">
        <f>SUM(B6:B14)</f>
        <v>74</v>
      </c>
      <c r="C15" s="229">
        <f t="shared" ref="C15:H15" si="0">SUM(C6:C14)</f>
        <v>104</v>
      </c>
      <c r="D15" s="154">
        <f t="shared" si="0"/>
        <v>129</v>
      </c>
      <c r="E15" s="154">
        <f t="shared" si="0"/>
        <v>149</v>
      </c>
      <c r="F15" s="154">
        <f t="shared" si="0"/>
        <v>174</v>
      </c>
      <c r="G15" s="154">
        <f t="shared" si="0"/>
        <v>199</v>
      </c>
      <c r="H15" s="154">
        <f t="shared" si="0"/>
        <v>224</v>
      </c>
    </row>
    <row r="16" spans="1:8">
      <c r="C16" s="230">
        <v>24</v>
      </c>
      <c r="D16" s="148" t="s">
        <v>260</v>
      </c>
    </row>
    <row r="17" spans="1:4">
      <c r="C17" s="230">
        <f>C15-C16</f>
        <v>80</v>
      </c>
      <c r="D17" s="148" t="s">
        <v>259</v>
      </c>
    </row>
    <row r="18" spans="1:4">
      <c r="C18" s="230">
        <f>SUM(C16:C17)</f>
        <v>104</v>
      </c>
      <c r="D18" s="148" t="s">
        <v>3</v>
      </c>
    </row>
    <row r="19" spans="1:4">
      <c r="A19" s="231" t="s">
        <v>257</v>
      </c>
    </row>
    <row r="20" spans="1:4">
      <c r="A20" s="231" t="s">
        <v>258</v>
      </c>
    </row>
  </sheetData>
  <mergeCells count="4">
    <mergeCell ref="B4:H4"/>
    <mergeCell ref="A4:A5"/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21"/>
  <sheetViews>
    <sheetView topLeftCell="A7" workbookViewId="0">
      <selection activeCell="G107" sqref="G107"/>
    </sheetView>
  </sheetViews>
  <sheetFormatPr defaultRowHeight="21"/>
  <cols>
    <col min="1" max="1" width="28.140625" style="179" customWidth="1"/>
    <col min="2" max="7" width="10.85546875" style="112" customWidth="1"/>
    <col min="8" max="8" width="0" hidden="1" customWidth="1"/>
    <col min="9" max="9" width="34.28515625" hidden="1" customWidth="1"/>
    <col min="10" max="15" width="0" hidden="1" customWidth="1"/>
    <col min="16" max="16" width="28.140625" style="179" customWidth="1"/>
    <col min="17" max="22" width="10.85546875" style="112" customWidth="1"/>
  </cols>
  <sheetData>
    <row r="1" spans="1:22" ht="26.25">
      <c r="A1" s="897" t="s">
        <v>263</v>
      </c>
      <c r="B1" s="898"/>
      <c r="C1" s="898"/>
      <c r="D1" s="898"/>
      <c r="E1" s="898"/>
      <c r="F1" s="898"/>
      <c r="G1" s="899"/>
      <c r="P1" s="897" t="s">
        <v>264</v>
      </c>
      <c r="Q1" s="898"/>
      <c r="R1" s="898"/>
      <c r="S1" s="898"/>
      <c r="T1" s="898"/>
      <c r="U1" s="898"/>
      <c r="V1" s="899"/>
    </row>
    <row r="2" spans="1:22" ht="26.25">
      <c r="A2" s="900" t="s">
        <v>265</v>
      </c>
      <c r="B2" s="901"/>
      <c r="C2" s="901"/>
      <c r="D2" s="901"/>
      <c r="E2" s="901"/>
      <c r="F2" s="901"/>
      <c r="G2" s="902"/>
      <c r="P2" s="900" t="s">
        <v>265</v>
      </c>
      <c r="Q2" s="901"/>
      <c r="R2" s="901"/>
      <c r="S2" s="901"/>
      <c r="T2" s="901"/>
      <c r="U2" s="901"/>
      <c r="V2" s="902"/>
    </row>
    <row r="3" spans="1:22">
      <c r="A3" s="171"/>
      <c r="B3" s="186"/>
      <c r="C3" s="186"/>
      <c r="D3" s="186"/>
      <c r="E3" s="186"/>
      <c r="F3" s="186"/>
      <c r="G3" s="186"/>
      <c r="P3" s="171"/>
      <c r="Q3" s="239"/>
      <c r="R3" s="239"/>
      <c r="S3" s="239"/>
      <c r="T3" s="239"/>
      <c r="U3" s="239"/>
      <c r="V3" s="239"/>
    </row>
    <row r="4" spans="1:22" ht="23.25">
      <c r="A4" s="903" t="s">
        <v>228</v>
      </c>
      <c r="B4" s="904"/>
      <c r="C4" s="904"/>
      <c r="D4" s="904"/>
      <c r="E4" s="904"/>
      <c r="F4" s="904"/>
      <c r="G4" s="905"/>
      <c r="P4" s="903" t="s">
        <v>228</v>
      </c>
      <c r="Q4" s="904"/>
      <c r="R4" s="904"/>
      <c r="S4" s="904"/>
      <c r="T4" s="904"/>
      <c r="U4" s="904"/>
      <c r="V4" s="905"/>
    </row>
    <row r="5" spans="1:22" s="233" customFormat="1">
      <c r="A5" s="171"/>
      <c r="B5" s="218"/>
      <c r="C5" s="218"/>
      <c r="D5" s="218"/>
      <c r="E5" s="218"/>
      <c r="F5" s="218"/>
      <c r="G5" s="218"/>
      <c r="P5" s="171"/>
      <c r="Q5" s="239"/>
      <c r="R5" s="239"/>
      <c r="S5" s="239"/>
      <c r="T5" s="239"/>
      <c r="U5" s="239"/>
      <c r="V5" s="239"/>
    </row>
    <row r="6" spans="1:22" s="233" customFormat="1">
      <c r="A6" s="790" t="s">
        <v>201</v>
      </c>
      <c r="B6" s="792" t="s">
        <v>202</v>
      </c>
      <c r="C6" s="792"/>
      <c r="D6" s="792"/>
      <c r="E6" s="792"/>
      <c r="F6" s="792"/>
      <c r="G6" s="785" t="s">
        <v>3</v>
      </c>
      <c r="P6" s="790" t="s">
        <v>201</v>
      </c>
      <c r="Q6" s="792" t="s">
        <v>202</v>
      </c>
      <c r="R6" s="792"/>
      <c r="S6" s="792"/>
      <c r="T6" s="792"/>
      <c r="U6" s="792"/>
      <c r="V6" s="785" t="s">
        <v>3</v>
      </c>
    </row>
    <row r="7" spans="1:22" s="233" customFormat="1">
      <c r="A7" s="791"/>
      <c r="B7" s="243" t="s">
        <v>203</v>
      </c>
      <c r="C7" s="240" t="s">
        <v>204</v>
      </c>
      <c r="D7" s="240" t="s">
        <v>205</v>
      </c>
      <c r="E7" s="240" t="s">
        <v>51</v>
      </c>
      <c r="F7" s="240" t="s">
        <v>134</v>
      </c>
      <c r="G7" s="786"/>
      <c r="P7" s="791"/>
      <c r="Q7" s="243" t="s">
        <v>203</v>
      </c>
      <c r="R7" s="240" t="s">
        <v>204</v>
      </c>
      <c r="S7" s="240" t="s">
        <v>205</v>
      </c>
      <c r="T7" s="240" t="s">
        <v>51</v>
      </c>
      <c r="U7" s="240" t="s">
        <v>134</v>
      </c>
      <c r="V7" s="786"/>
    </row>
    <row r="8" spans="1:22" s="19" customFormat="1">
      <c r="A8" s="173" t="s">
        <v>200</v>
      </c>
      <c r="B8" s="174"/>
      <c r="C8" s="174"/>
      <c r="D8" s="174">
        <v>3912</v>
      </c>
      <c r="E8" s="174"/>
      <c r="F8" s="174">
        <v>35</v>
      </c>
      <c r="G8" s="174">
        <f t="shared" ref="G8:G16" si="0">SUM(B8:F8)</f>
        <v>3947</v>
      </c>
      <c r="P8" s="173" t="s">
        <v>200</v>
      </c>
      <c r="Q8" s="194">
        <v>326</v>
      </c>
      <c r="R8" s="194"/>
      <c r="S8" s="194">
        <f>1072-Q8</f>
        <v>746</v>
      </c>
      <c r="T8" s="194">
        <v>1250</v>
      </c>
      <c r="U8" s="194">
        <v>172</v>
      </c>
      <c r="V8" s="174">
        <f t="shared" ref="V8:V16" si="1">SUM(Q8:U8)</f>
        <v>2494</v>
      </c>
    </row>
    <row r="9" spans="1:22" s="19" customFormat="1">
      <c r="A9" s="173" t="s">
        <v>206</v>
      </c>
      <c r="B9" s="174"/>
      <c r="C9" s="174">
        <v>1740</v>
      </c>
      <c r="D9" s="174"/>
      <c r="E9" s="174"/>
      <c r="F9" s="174"/>
      <c r="G9" s="174">
        <f t="shared" si="0"/>
        <v>1740</v>
      </c>
      <c r="P9" s="173" t="s">
        <v>206</v>
      </c>
      <c r="Q9" s="174"/>
      <c r="R9" s="174">
        <v>599</v>
      </c>
      <c r="S9" s="174"/>
      <c r="T9" s="174">
        <v>59</v>
      </c>
      <c r="U9" s="174"/>
      <c r="V9" s="174">
        <f t="shared" si="1"/>
        <v>658</v>
      </c>
    </row>
    <row r="10" spans="1:22" s="19" customFormat="1">
      <c r="A10" s="173" t="s">
        <v>197</v>
      </c>
      <c r="B10" s="174">
        <v>345</v>
      </c>
      <c r="C10" s="174">
        <v>1981</v>
      </c>
      <c r="D10" s="174"/>
      <c r="E10" s="174">
        <v>2</v>
      </c>
      <c r="F10" s="174"/>
      <c r="G10" s="174">
        <f t="shared" si="0"/>
        <v>2328</v>
      </c>
      <c r="P10" s="173" t="s">
        <v>197</v>
      </c>
      <c r="Q10" s="174">
        <f>35+150+236+142+64</f>
        <v>627</v>
      </c>
      <c r="R10" s="174">
        <f>448+5</f>
        <v>453</v>
      </c>
      <c r="S10" s="174"/>
      <c r="T10" s="174">
        <v>131</v>
      </c>
      <c r="U10" s="174">
        <v>20</v>
      </c>
      <c r="V10" s="174">
        <f t="shared" si="1"/>
        <v>1231</v>
      </c>
    </row>
    <row r="11" spans="1:22" s="19" customFormat="1">
      <c r="A11" s="106" t="s">
        <v>232</v>
      </c>
      <c r="B11" s="106">
        <f>SUM(B8:B10)</f>
        <v>345</v>
      </c>
      <c r="C11" s="106">
        <f>SUM(C8:C10)</f>
        <v>3721</v>
      </c>
      <c r="D11" s="106">
        <f>SUM(D8:D10)</f>
        <v>3912</v>
      </c>
      <c r="E11" s="106">
        <f>SUM(E8:E10)</f>
        <v>2</v>
      </c>
      <c r="F11" s="106">
        <f>SUM(F8:F10)</f>
        <v>35</v>
      </c>
      <c r="G11" s="106">
        <f t="shared" si="0"/>
        <v>8015</v>
      </c>
      <c r="J11" s="232">
        <f>B11+C11+D11</f>
        <v>7978</v>
      </c>
      <c r="P11" s="106" t="s">
        <v>232</v>
      </c>
      <c r="Q11" s="106">
        <f>SUM(Q8:Q10)</f>
        <v>953</v>
      </c>
      <c r="R11" s="106">
        <f>SUM(R8:R10)</f>
        <v>1052</v>
      </c>
      <c r="S11" s="106">
        <f>SUM(S8:S10)</f>
        <v>746</v>
      </c>
      <c r="T11" s="106">
        <f>SUM(T8:T10)</f>
        <v>1440</v>
      </c>
      <c r="U11" s="106">
        <f>SUM(U8:U10)</f>
        <v>192</v>
      </c>
      <c r="V11" s="106">
        <f t="shared" si="1"/>
        <v>4383</v>
      </c>
    </row>
    <row r="12" spans="1:22" s="19" customFormat="1">
      <c r="A12" s="173" t="s">
        <v>199</v>
      </c>
      <c r="B12" s="174"/>
      <c r="C12" s="174">
        <v>1713</v>
      </c>
      <c r="D12" s="174"/>
      <c r="E12" s="174">
        <v>9</v>
      </c>
      <c r="F12" s="174">
        <v>3</v>
      </c>
      <c r="G12" s="174">
        <f t="shared" si="0"/>
        <v>1725</v>
      </c>
      <c r="J12" s="232">
        <f>B15+C15</f>
        <v>3608</v>
      </c>
      <c r="P12" s="173" t="s">
        <v>199</v>
      </c>
      <c r="Q12" s="174"/>
      <c r="R12" s="174">
        <v>55</v>
      </c>
      <c r="S12" s="174"/>
      <c r="T12" s="174">
        <v>59</v>
      </c>
      <c r="U12" s="174">
        <v>1</v>
      </c>
      <c r="V12" s="174">
        <f t="shared" si="1"/>
        <v>115</v>
      </c>
    </row>
    <row r="13" spans="1:22" s="19" customFormat="1">
      <c r="A13" s="173" t="s">
        <v>17</v>
      </c>
      <c r="B13" s="174"/>
      <c r="C13" s="174">
        <v>749</v>
      </c>
      <c r="D13" s="174"/>
      <c r="E13" s="174"/>
      <c r="F13" s="174"/>
      <c r="G13" s="174">
        <f t="shared" si="0"/>
        <v>749</v>
      </c>
      <c r="J13" s="232"/>
      <c r="P13" s="173" t="s">
        <v>17</v>
      </c>
      <c r="Q13" s="174"/>
      <c r="R13" s="174">
        <v>12</v>
      </c>
      <c r="S13" s="174"/>
      <c r="T13" s="174"/>
      <c r="U13" s="174"/>
      <c r="V13" s="174">
        <f t="shared" si="1"/>
        <v>12</v>
      </c>
    </row>
    <row r="14" spans="1:22" s="19" customFormat="1">
      <c r="A14" s="173" t="s">
        <v>198</v>
      </c>
      <c r="B14" s="174">
        <v>224</v>
      </c>
      <c r="C14" s="174">
        <v>922</v>
      </c>
      <c r="D14" s="174"/>
      <c r="E14" s="174">
        <v>5</v>
      </c>
      <c r="F14" s="174"/>
      <c r="G14" s="174">
        <f t="shared" si="0"/>
        <v>1151</v>
      </c>
      <c r="P14" s="173" t="s">
        <v>198</v>
      </c>
      <c r="Q14" s="174">
        <f>23+84+13+71+20</f>
        <v>211</v>
      </c>
      <c r="R14" s="174">
        <f>18+14+19+63</f>
        <v>114</v>
      </c>
      <c r="S14" s="174"/>
      <c r="T14" s="174">
        <v>22</v>
      </c>
      <c r="U14" s="174"/>
      <c r="V14" s="174">
        <f t="shared" si="1"/>
        <v>347</v>
      </c>
    </row>
    <row r="15" spans="1:22" s="19" customFormat="1">
      <c r="A15" s="235" t="s">
        <v>261</v>
      </c>
      <c r="B15" s="234">
        <f>SUM(B12:B14)</f>
        <v>224</v>
      </c>
      <c r="C15" s="234">
        <f t="shared" ref="C15:F15" si="2">SUM(C12:C14)</f>
        <v>3384</v>
      </c>
      <c r="D15" s="234">
        <f t="shared" si="2"/>
        <v>0</v>
      </c>
      <c r="E15" s="234">
        <f t="shared" si="2"/>
        <v>14</v>
      </c>
      <c r="F15" s="234">
        <f t="shared" si="2"/>
        <v>3</v>
      </c>
      <c r="G15" s="238">
        <f t="shared" si="0"/>
        <v>3625</v>
      </c>
      <c r="P15" s="235" t="s">
        <v>261</v>
      </c>
      <c r="Q15" s="234">
        <f>SUM(Q12:Q14)</f>
        <v>211</v>
      </c>
      <c r="R15" s="234">
        <f t="shared" ref="R15:U15" si="3">SUM(R12:R14)</f>
        <v>181</v>
      </c>
      <c r="S15" s="234">
        <f t="shared" si="3"/>
        <v>0</v>
      </c>
      <c r="T15" s="234">
        <f t="shared" si="3"/>
        <v>81</v>
      </c>
      <c r="U15" s="234">
        <f t="shared" si="3"/>
        <v>1</v>
      </c>
      <c r="V15" s="238">
        <f t="shared" si="1"/>
        <v>474</v>
      </c>
    </row>
    <row r="16" spans="1:22" s="19" customFormat="1">
      <c r="A16" s="236" t="s">
        <v>59</v>
      </c>
      <c r="B16" s="237">
        <f>SUM(B11,B15)</f>
        <v>569</v>
      </c>
      <c r="C16" s="237">
        <f>SUM(C11,C15)</f>
        <v>7105</v>
      </c>
      <c r="D16" s="237">
        <f>SUM(D11,D15)</f>
        <v>3912</v>
      </c>
      <c r="E16" s="237">
        <f>SUM(E11,E15)</f>
        <v>16</v>
      </c>
      <c r="F16" s="237">
        <f>SUM(F11,F15)</f>
        <v>38</v>
      </c>
      <c r="G16" s="237">
        <f t="shared" si="0"/>
        <v>11640</v>
      </c>
      <c r="P16" s="236" t="s">
        <v>59</v>
      </c>
      <c r="Q16" s="237">
        <f>SUM(Q11,Q15)</f>
        <v>1164</v>
      </c>
      <c r="R16" s="237">
        <f>SUM(R11,R15)</f>
        <v>1233</v>
      </c>
      <c r="S16" s="237">
        <f>SUM(S11,S15)</f>
        <v>746</v>
      </c>
      <c r="T16" s="237">
        <f>SUM(T11,T15)</f>
        <v>1521</v>
      </c>
      <c r="U16" s="237">
        <f>SUM(U11,U15)</f>
        <v>193</v>
      </c>
      <c r="V16" s="237">
        <f t="shared" si="1"/>
        <v>4857</v>
      </c>
    </row>
    <row r="17" spans="1:22">
      <c r="A17" s="214"/>
      <c r="B17" s="244"/>
      <c r="C17" s="245">
        <f>B16+C16+D16</f>
        <v>11586</v>
      </c>
      <c r="D17" s="246"/>
      <c r="E17" s="244"/>
      <c r="F17" s="246">
        <f>E16+F16</f>
        <v>54</v>
      </c>
      <c r="G17" s="213"/>
      <c r="I17" s="909" t="s">
        <v>226</v>
      </c>
      <c r="J17" s="909"/>
      <c r="K17" s="909"/>
      <c r="L17" s="909"/>
      <c r="M17" s="909"/>
      <c r="N17" s="909"/>
      <c r="O17" s="909"/>
      <c r="P17" s="214"/>
      <c r="Q17" s="244"/>
      <c r="R17" s="245">
        <f>Q16+R16+S16</f>
        <v>3143</v>
      </c>
      <c r="S17" s="246"/>
      <c r="T17" s="244"/>
      <c r="U17" s="246">
        <f>T16+U16</f>
        <v>1714</v>
      </c>
      <c r="V17" s="213"/>
    </row>
    <row r="18" spans="1:22" s="19" customFormat="1" hidden="1">
      <c r="A18" s="175"/>
      <c r="B18" s="159"/>
      <c r="C18" s="159"/>
      <c r="D18" s="159"/>
      <c r="E18" s="159"/>
      <c r="F18" s="159"/>
      <c r="G18" s="159"/>
      <c r="H18" s="232">
        <f>E16+F16</f>
        <v>54</v>
      </c>
      <c r="I18" s="215" t="s">
        <v>201</v>
      </c>
      <c r="J18" s="906" t="s">
        <v>202</v>
      </c>
      <c r="K18" s="907"/>
      <c r="L18" s="907"/>
      <c r="M18" s="907"/>
      <c r="N18" s="908"/>
      <c r="O18" s="216" t="s">
        <v>3</v>
      </c>
      <c r="P18" s="175"/>
      <c r="Q18" s="159"/>
      <c r="R18" s="159"/>
      <c r="S18" s="159"/>
      <c r="T18" s="159"/>
      <c r="U18" s="159"/>
      <c r="V18" s="159"/>
    </row>
    <row r="19" spans="1:22" s="19" customFormat="1" hidden="1">
      <c r="A19" s="793" t="s">
        <v>227</v>
      </c>
      <c r="B19" s="793"/>
      <c r="C19" s="793"/>
      <c r="D19" s="793"/>
      <c r="E19" s="793"/>
      <c r="F19" s="793"/>
      <c r="G19" s="793"/>
      <c r="I19" s="222"/>
      <c r="J19" s="172" t="s">
        <v>203</v>
      </c>
      <c r="K19" s="240" t="s">
        <v>204</v>
      </c>
      <c r="L19" s="240" t="s">
        <v>205</v>
      </c>
      <c r="M19" s="240" t="s">
        <v>51</v>
      </c>
      <c r="N19" s="240" t="s">
        <v>134</v>
      </c>
      <c r="O19" s="217"/>
      <c r="P19" s="793" t="s">
        <v>227</v>
      </c>
      <c r="Q19" s="793"/>
      <c r="R19" s="793"/>
      <c r="S19" s="793"/>
      <c r="T19" s="793"/>
      <c r="U19" s="793"/>
      <c r="V19" s="793"/>
    </row>
    <row r="20" spans="1:22" s="19" customFormat="1" hidden="1">
      <c r="A20" s="790" t="s">
        <v>201</v>
      </c>
      <c r="B20" s="792" t="s">
        <v>202</v>
      </c>
      <c r="C20" s="792"/>
      <c r="D20" s="792"/>
      <c r="E20" s="792"/>
      <c r="F20" s="792"/>
      <c r="G20" s="785" t="s">
        <v>3</v>
      </c>
      <c r="I20" s="173" t="s">
        <v>200</v>
      </c>
      <c r="J20" s="174"/>
      <c r="K20" s="174"/>
      <c r="L20" s="174">
        <v>536</v>
      </c>
      <c r="M20" s="174"/>
      <c r="N20" s="174">
        <v>6</v>
      </c>
      <c r="O20" s="174">
        <f t="shared" ref="O20:O26" si="4">SUM(J20:N20)</f>
        <v>542</v>
      </c>
      <c r="P20" s="790" t="s">
        <v>201</v>
      </c>
      <c r="Q20" s="792" t="s">
        <v>202</v>
      </c>
      <c r="R20" s="792"/>
      <c r="S20" s="792"/>
      <c r="T20" s="792"/>
      <c r="U20" s="792"/>
      <c r="V20" s="785" t="s">
        <v>3</v>
      </c>
    </row>
    <row r="21" spans="1:22" s="19" customFormat="1" hidden="1">
      <c r="A21" s="791"/>
      <c r="B21" s="172" t="s">
        <v>203</v>
      </c>
      <c r="C21" s="219" t="s">
        <v>204</v>
      </c>
      <c r="D21" s="219" t="s">
        <v>205</v>
      </c>
      <c r="E21" s="219" t="s">
        <v>51</v>
      </c>
      <c r="F21" s="219" t="s">
        <v>134</v>
      </c>
      <c r="G21" s="786"/>
      <c r="I21" s="173" t="s">
        <v>206</v>
      </c>
      <c r="J21" s="174"/>
      <c r="K21" s="174">
        <v>437</v>
      </c>
      <c r="L21" s="174"/>
      <c r="M21" s="174"/>
      <c r="N21" s="174"/>
      <c r="O21" s="174">
        <f t="shared" si="4"/>
        <v>437</v>
      </c>
      <c r="P21" s="791"/>
      <c r="Q21" s="172" t="s">
        <v>203</v>
      </c>
      <c r="R21" s="240" t="s">
        <v>204</v>
      </c>
      <c r="S21" s="240" t="s">
        <v>205</v>
      </c>
      <c r="T21" s="240" t="s">
        <v>51</v>
      </c>
      <c r="U21" s="240" t="s">
        <v>134</v>
      </c>
      <c r="V21" s="786"/>
    </row>
    <row r="22" spans="1:22" s="19" customFormat="1" hidden="1">
      <c r="A22" s="173" t="s">
        <v>200</v>
      </c>
      <c r="B22" s="174"/>
      <c r="C22" s="174"/>
      <c r="D22" s="174">
        <v>718</v>
      </c>
      <c r="E22" s="174"/>
      <c r="F22" s="174"/>
      <c r="G22" s="174">
        <f t="shared" ref="G22:G28" si="5">SUM(B22:F22)</f>
        <v>718</v>
      </c>
      <c r="I22" s="173" t="s">
        <v>197</v>
      </c>
      <c r="J22" s="174">
        <v>222</v>
      </c>
      <c r="K22" s="174">
        <v>591</v>
      </c>
      <c r="L22" s="174"/>
      <c r="M22" s="174"/>
      <c r="N22" s="174"/>
      <c r="O22" s="174">
        <f t="shared" si="4"/>
        <v>813</v>
      </c>
      <c r="P22" s="173" t="s">
        <v>200</v>
      </c>
      <c r="Q22" s="174"/>
      <c r="R22" s="174"/>
      <c r="S22" s="174">
        <v>718</v>
      </c>
      <c r="T22" s="174"/>
      <c r="U22" s="174"/>
      <c r="V22" s="174">
        <f t="shared" ref="V22:V28" si="6">SUM(Q22:U22)</f>
        <v>718</v>
      </c>
    </row>
    <row r="23" spans="1:22" s="19" customFormat="1" hidden="1">
      <c r="A23" s="173" t="s">
        <v>206</v>
      </c>
      <c r="B23" s="174"/>
      <c r="C23" s="174">
        <v>626</v>
      </c>
      <c r="D23" s="174"/>
      <c r="E23" s="174"/>
      <c r="F23" s="174"/>
      <c r="G23" s="174">
        <f t="shared" si="5"/>
        <v>626</v>
      </c>
      <c r="I23" s="106" t="s">
        <v>232</v>
      </c>
      <c r="J23" s="106">
        <f>SUM(J20:J22)</f>
        <v>222</v>
      </c>
      <c r="K23" s="106">
        <f>SUM(K20:K22)</f>
        <v>1028</v>
      </c>
      <c r="L23" s="106">
        <f>SUM(L20:L22)</f>
        <v>536</v>
      </c>
      <c r="M23" s="106">
        <f>SUM(M20:M22)</f>
        <v>0</v>
      </c>
      <c r="N23" s="106">
        <f>SUM(N20:N22)</f>
        <v>6</v>
      </c>
      <c r="O23" s="106">
        <f t="shared" si="4"/>
        <v>1792</v>
      </c>
      <c r="P23" s="173" t="s">
        <v>206</v>
      </c>
      <c r="Q23" s="174"/>
      <c r="R23" s="174">
        <v>626</v>
      </c>
      <c r="S23" s="174"/>
      <c r="T23" s="174"/>
      <c r="U23" s="174"/>
      <c r="V23" s="174">
        <f t="shared" si="6"/>
        <v>626</v>
      </c>
    </row>
    <row r="24" spans="1:22" s="19" customFormat="1" hidden="1">
      <c r="A24" s="173" t="s">
        <v>197</v>
      </c>
      <c r="B24" s="174"/>
      <c r="C24" s="174">
        <v>777</v>
      </c>
      <c r="D24" s="174"/>
      <c r="E24" s="174"/>
      <c r="F24" s="174"/>
      <c r="G24" s="174">
        <f t="shared" si="5"/>
        <v>777</v>
      </c>
      <c r="I24" s="173" t="s">
        <v>199</v>
      </c>
      <c r="J24" s="174"/>
      <c r="K24" s="174">
        <v>339</v>
      </c>
      <c r="L24" s="174"/>
      <c r="M24" s="174">
        <v>8</v>
      </c>
      <c r="N24" s="174"/>
      <c r="O24" s="174">
        <f t="shared" si="4"/>
        <v>347</v>
      </c>
      <c r="P24" s="173" t="s">
        <v>197</v>
      </c>
      <c r="Q24" s="174"/>
      <c r="R24" s="174">
        <v>777</v>
      </c>
      <c r="S24" s="174"/>
      <c r="T24" s="174"/>
      <c r="U24" s="174"/>
      <c r="V24" s="174">
        <f t="shared" si="6"/>
        <v>777</v>
      </c>
    </row>
    <row r="25" spans="1:22" s="19" customFormat="1" hidden="1">
      <c r="A25" s="234" t="s">
        <v>232</v>
      </c>
      <c r="B25" s="234">
        <f>SUM(B22:B24)</f>
        <v>0</v>
      </c>
      <c r="C25" s="234">
        <f>SUM(C22:C24)</f>
        <v>1403</v>
      </c>
      <c r="D25" s="234">
        <f>SUM(D22:D24)</f>
        <v>718</v>
      </c>
      <c r="E25" s="234">
        <f>SUM(E22:E24)</f>
        <v>0</v>
      </c>
      <c r="F25" s="234">
        <f>SUM(F22:F24)</f>
        <v>0</v>
      </c>
      <c r="G25" s="234">
        <f t="shared" si="5"/>
        <v>2121</v>
      </c>
      <c r="I25" s="173" t="s">
        <v>17</v>
      </c>
      <c r="J25" s="174"/>
      <c r="K25" s="174">
        <v>182</v>
      </c>
      <c r="L25" s="174"/>
      <c r="M25" s="174"/>
      <c r="N25" s="174"/>
      <c r="O25" s="174">
        <f t="shared" si="4"/>
        <v>182</v>
      </c>
      <c r="P25" s="234" t="s">
        <v>232</v>
      </c>
      <c r="Q25" s="234">
        <f>SUM(Q22:Q24)</f>
        <v>0</v>
      </c>
      <c r="R25" s="234">
        <f>SUM(R22:R24)</f>
        <v>1403</v>
      </c>
      <c r="S25" s="234">
        <f>SUM(S22:S24)</f>
        <v>718</v>
      </c>
      <c r="T25" s="234">
        <f>SUM(T22:T24)</f>
        <v>0</v>
      </c>
      <c r="U25" s="234">
        <f>SUM(U22:U24)</f>
        <v>0</v>
      </c>
      <c r="V25" s="234">
        <f t="shared" si="6"/>
        <v>2121</v>
      </c>
    </row>
    <row r="26" spans="1:22" s="19" customFormat="1" hidden="1">
      <c r="A26" s="173" t="s">
        <v>199</v>
      </c>
      <c r="B26" s="174"/>
      <c r="C26" s="174">
        <v>494</v>
      </c>
      <c r="D26" s="174"/>
      <c r="E26" s="174"/>
      <c r="F26" s="174"/>
      <c r="G26" s="174">
        <f t="shared" si="5"/>
        <v>494</v>
      </c>
      <c r="I26" s="173" t="s">
        <v>198</v>
      </c>
      <c r="J26" s="174">
        <v>99</v>
      </c>
      <c r="K26" s="174">
        <v>246</v>
      </c>
      <c r="L26" s="174"/>
      <c r="M26" s="174"/>
      <c r="N26" s="174"/>
      <c r="O26" s="174">
        <f t="shared" si="4"/>
        <v>345</v>
      </c>
      <c r="P26" s="173" t="s">
        <v>199</v>
      </c>
      <c r="Q26" s="174"/>
      <c r="R26" s="174">
        <v>494</v>
      </c>
      <c r="S26" s="174"/>
      <c r="T26" s="174"/>
      <c r="U26" s="174"/>
      <c r="V26" s="174">
        <f t="shared" si="6"/>
        <v>494</v>
      </c>
    </row>
    <row r="27" spans="1:22" s="19" customFormat="1" hidden="1">
      <c r="A27" s="173" t="s">
        <v>17</v>
      </c>
      <c r="B27" s="174"/>
      <c r="C27" s="174">
        <v>309</v>
      </c>
      <c r="D27" s="174"/>
      <c r="E27" s="174"/>
      <c r="F27" s="174"/>
      <c r="G27" s="174">
        <f t="shared" si="5"/>
        <v>309</v>
      </c>
      <c r="I27" s="182" t="s">
        <v>233</v>
      </c>
      <c r="J27" s="106">
        <f t="shared" ref="J27:O27" si="7">SUM(J24:J26)</f>
        <v>99</v>
      </c>
      <c r="K27" s="106">
        <f t="shared" si="7"/>
        <v>767</v>
      </c>
      <c r="L27" s="106">
        <f t="shared" si="7"/>
        <v>0</v>
      </c>
      <c r="M27" s="106">
        <f t="shared" si="7"/>
        <v>8</v>
      </c>
      <c r="N27" s="106">
        <f t="shared" si="7"/>
        <v>0</v>
      </c>
      <c r="O27" s="106">
        <f t="shared" si="7"/>
        <v>874</v>
      </c>
      <c r="P27" s="173" t="s">
        <v>17</v>
      </c>
      <c r="Q27" s="174"/>
      <c r="R27" s="174">
        <v>309</v>
      </c>
      <c r="S27" s="174"/>
      <c r="T27" s="174"/>
      <c r="U27" s="174"/>
      <c r="V27" s="174">
        <f t="shared" si="6"/>
        <v>309</v>
      </c>
    </row>
    <row r="28" spans="1:22" s="19" customFormat="1" hidden="1">
      <c r="A28" s="173" t="s">
        <v>198</v>
      </c>
      <c r="B28" s="174">
        <f>14+13+11+38+37</f>
        <v>113</v>
      </c>
      <c r="C28" s="174">
        <f>428-B28</f>
        <v>315</v>
      </c>
      <c r="D28" s="174"/>
      <c r="E28" s="174"/>
      <c r="F28" s="174"/>
      <c r="G28" s="174">
        <f t="shared" si="5"/>
        <v>428</v>
      </c>
      <c r="I28" s="182" t="s">
        <v>59</v>
      </c>
      <c r="J28" s="106">
        <f t="shared" ref="J28:O28" si="8">SUM(J23,J27)</f>
        <v>321</v>
      </c>
      <c r="K28" s="106">
        <f t="shared" si="8"/>
        <v>1795</v>
      </c>
      <c r="L28" s="106">
        <f t="shared" si="8"/>
        <v>536</v>
      </c>
      <c r="M28" s="106">
        <f t="shared" si="8"/>
        <v>8</v>
      </c>
      <c r="N28" s="106">
        <f t="shared" si="8"/>
        <v>6</v>
      </c>
      <c r="O28" s="106">
        <f t="shared" si="8"/>
        <v>2666</v>
      </c>
      <c r="P28" s="173" t="s">
        <v>198</v>
      </c>
      <c r="Q28" s="174">
        <f>14+13+11+38+37</f>
        <v>113</v>
      </c>
      <c r="R28" s="174">
        <f>428-Q28</f>
        <v>315</v>
      </c>
      <c r="S28" s="174"/>
      <c r="T28" s="174"/>
      <c r="U28" s="174"/>
      <c r="V28" s="174">
        <f t="shared" si="6"/>
        <v>428</v>
      </c>
    </row>
    <row r="29" spans="1:22" s="19" customFormat="1" hidden="1">
      <c r="A29" s="235" t="s">
        <v>261</v>
      </c>
      <c r="B29" s="234">
        <f t="shared" ref="B29:G29" si="9">SUM(B26:B28)</f>
        <v>113</v>
      </c>
      <c r="C29" s="234">
        <f t="shared" si="9"/>
        <v>1118</v>
      </c>
      <c r="D29" s="234">
        <f t="shared" si="9"/>
        <v>0</v>
      </c>
      <c r="E29" s="234">
        <f t="shared" si="9"/>
        <v>0</v>
      </c>
      <c r="F29" s="234">
        <f t="shared" si="9"/>
        <v>0</v>
      </c>
      <c r="G29" s="234">
        <f t="shared" si="9"/>
        <v>1231</v>
      </c>
      <c r="P29" s="235" t="s">
        <v>261</v>
      </c>
      <c r="Q29" s="234">
        <f t="shared" ref="Q29:V29" si="10">SUM(Q26:Q28)</f>
        <v>113</v>
      </c>
      <c r="R29" s="234">
        <f t="shared" si="10"/>
        <v>1118</v>
      </c>
      <c r="S29" s="234">
        <f t="shared" si="10"/>
        <v>0</v>
      </c>
      <c r="T29" s="234">
        <f t="shared" si="10"/>
        <v>0</v>
      </c>
      <c r="U29" s="234">
        <f t="shared" si="10"/>
        <v>0</v>
      </c>
      <c r="V29" s="234">
        <f t="shared" si="10"/>
        <v>1231</v>
      </c>
    </row>
    <row r="30" spans="1:22" s="19" customFormat="1" hidden="1">
      <c r="A30" s="236" t="s">
        <v>59</v>
      </c>
      <c r="B30" s="237">
        <f t="shared" ref="B30:G30" si="11">SUM(B25,B29)</f>
        <v>113</v>
      </c>
      <c r="C30" s="237">
        <f t="shared" si="11"/>
        <v>2521</v>
      </c>
      <c r="D30" s="237">
        <f t="shared" si="11"/>
        <v>718</v>
      </c>
      <c r="E30" s="237">
        <f t="shared" si="11"/>
        <v>0</v>
      </c>
      <c r="F30" s="237">
        <f t="shared" si="11"/>
        <v>0</v>
      </c>
      <c r="G30" s="237">
        <f t="shared" si="11"/>
        <v>3352</v>
      </c>
      <c r="I30" s="910" t="s">
        <v>225</v>
      </c>
      <c r="J30" s="910"/>
      <c r="K30" s="910"/>
      <c r="L30" s="910"/>
      <c r="M30" s="910"/>
      <c r="N30" s="910"/>
      <c r="O30" s="910"/>
      <c r="P30" s="236" t="s">
        <v>59</v>
      </c>
      <c r="Q30" s="237">
        <f t="shared" ref="Q30:V30" si="12">SUM(Q25,Q29)</f>
        <v>113</v>
      </c>
      <c r="R30" s="237">
        <f t="shared" si="12"/>
        <v>2521</v>
      </c>
      <c r="S30" s="237">
        <f t="shared" si="12"/>
        <v>718</v>
      </c>
      <c r="T30" s="237">
        <f t="shared" si="12"/>
        <v>0</v>
      </c>
      <c r="U30" s="237">
        <f t="shared" si="12"/>
        <v>0</v>
      </c>
      <c r="V30" s="237">
        <f t="shared" si="12"/>
        <v>3352</v>
      </c>
    </row>
    <row r="31" spans="1:22" hidden="1">
      <c r="A31" s="189"/>
      <c r="B31" s="190"/>
      <c r="C31" s="190"/>
      <c r="D31" s="190"/>
      <c r="E31" s="190"/>
      <c r="F31" s="190"/>
      <c r="G31" s="190"/>
      <c r="I31" s="201" t="s">
        <v>201</v>
      </c>
      <c r="J31" s="911" t="s">
        <v>202</v>
      </c>
      <c r="K31" s="912"/>
      <c r="L31" s="912"/>
      <c r="M31" s="912"/>
      <c r="N31" s="913"/>
      <c r="O31" s="204" t="s">
        <v>3</v>
      </c>
      <c r="P31" s="189"/>
      <c r="Q31" s="190"/>
      <c r="R31" s="190"/>
      <c r="S31" s="190"/>
      <c r="T31" s="190"/>
      <c r="U31" s="190"/>
      <c r="V31" s="190"/>
    </row>
    <row r="32" spans="1:22" hidden="1">
      <c r="A32" s="189" t="s">
        <v>224</v>
      </c>
      <c r="B32" s="190"/>
      <c r="C32" s="190"/>
      <c r="D32" s="190"/>
      <c r="E32" s="190"/>
      <c r="F32" s="190"/>
      <c r="G32" s="190"/>
      <c r="I32" s="202"/>
      <c r="J32" s="241" t="s">
        <v>203</v>
      </c>
      <c r="K32" s="242" t="s">
        <v>204</v>
      </c>
      <c r="L32" s="242" t="s">
        <v>205</v>
      </c>
      <c r="M32" s="242" t="s">
        <v>51</v>
      </c>
      <c r="N32" s="242" t="s">
        <v>134</v>
      </c>
      <c r="O32" s="205"/>
      <c r="P32" s="189" t="s">
        <v>224</v>
      </c>
      <c r="Q32" s="190"/>
      <c r="R32" s="190"/>
      <c r="S32" s="190"/>
      <c r="T32" s="190"/>
      <c r="U32" s="190"/>
      <c r="V32" s="190"/>
    </row>
    <row r="33" spans="1:22" hidden="1">
      <c r="A33" s="177"/>
      <c r="B33" s="161"/>
      <c r="C33" s="161"/>
      <c r="D33" s="161"/>
      <c r="E33" s="161"/>
      <c r="F33" s="161"/>
      <c r="G33" s="161"/>
      <c r="I33" s="193" t="s">
        <v>200</v>
      </c>
      <c r="J33" s="194"/>
      <c r="K33" s="194"/>
      <c r="L33" s="194">
        <v>1346</v>
      </c>
      <c r="M33" s="194"/>
      <c r="N33" s="194">
        <v>5</v>
      </c>
      <c r="O33" s="194">
        <f t="shared" ref="O33:O39" si="13">SUM(J33:N33)</f>
        <v>1351</v>
      </c>
      <c r="P33" s="177"/>
      <c r="Q33" s="161"/>
      <c r="R33" s="161"/>
      <c r="S33" s="161"/>
      <c r="T33" s="161"/>
      <c r="U33" s="161"/>
      <c r="V33" s="161"/>
    </row>
    <row r="34" spans="1:22" hidden="1">
      <c r="A34" s="188"/>
      <c r="B34" s="187"/>
      <c r="C34" s="187"/>
      <c r="D34" s="187"/>
      <c r="E34" s="187"/>
      <c r="F34" s="187"/>
      <c r="G34" s="187"/>
      <c r="I34" s="173" t="s">
        <v>206</v>
      </c>
      <c r="J34" s="174"/>
      <c r="K34" s="174">
        <v>411</v>
      </c>
      <c r="L34" s="174"/>
      <c r="M34" s="174"/>
      <c r="N34" s="174"/>
      <c r="O34" s="174">
        <f t="shared" si="13"/>
        <v>411</v>
      </c>
      <c r="P34" s="188"/>
      <c r="Q34" s="187"/>
      <c r="R34" s="187"/>
      <c r="S34" s="187"/>
      <c r="T34" s="187"/>
      <c r="U34" s="187"/>
      <c r="V34" s="187"/>
    </row>
    <row r="35" spans="1:22" hidden="1">
      <c r="A35" s="188"/>
      <c r="B35" s="187"/>
      <c r="C35" s="187"/>
      <c r="D35" s="187"/>
      <c r="E35" s="187"/>
      <c r="F35" s="187"/>
      <c r="G35" s="187"/>
      <c r="I35" s="173" t="s">
        <v>197</v>
      </c>
      <c r="J35" s="174"/>
      <c r="K35" s="174">
        <v>900</v>
      </c>
      <c r="L35" s="174"/>
      <c r="M35" s="174"/>
      <c r="N35" s="174"/>
      <c r="O35" s="174">
        <f t="shared" si="13"/>
        <v>900</v>
      </c>
      <c r="P35" s="188"/>
      <c r="Q35" s="187"/>
      <c r="R35" s="187"/>
      <c r="S35" s="187"/>
      <c r="T35" s="187"/>
      <c r="U35" s="187"/>
      <c r="V35" s="187"/>
    </row>
    <row r="36" spans="1:22" hidden="1">
      <c r="A36" s="177"/>
      <c r="B36" s="161"/>
      <c r="C36" s="161"/>
      <c r="D36" s="161"/>
      <c r="E36" s="161"/>
      <c r="F36" s="161"/>
      <c r="G36" s="161"/>
      <c r="I36" s="106" t="s">
        <v>3</v>
      </c>
      <c r="J36" s="106">
        <f>SUM(J33:J35)</f>
        <v>0</v>
      </c>
      <c r="K36" s="106">
        <f>SUM(K33:K35)</f>
        <v>1311</v>
      </c>
      <c r="L36" s="106">
        <f>SUM(L33:L35)</f>
        <v>1346</v>
      </c>
      <c r="M36" s="106">
        <f>SUM(M33:M35)</f>
        <v>0</v>
      </c>
      <c r="N36" s="106">
        <f>SUM(N33:N35)</f>
        <v>5</v>
      </c>
      <c r="O36" s="106">
        <f t="shared" si="13"/>
        <v>2662</v>
      </c>
      <c r="P36" s="177"/>
      <c r="Q36" s="161"/>
      <c r="R36" s="161"/>
      <c r="S36" s="161"/>
      <c r="T36" s="161"/>
      <c r="U36" s="161"/>
      <c r="V36" s="161"/>
    </row>
    <row r="37" spans="1:22" hidden="1">
      <c r="A37" s="188"/>
      <c r="B37" s="187"/>
      <c r="C37" s="187"/>
      <c r="D37" s="187"/>
      <c r="E37" s="187"/>
      <c r="F37" s="187"/>
      <c r="G37" s="187"/>
      <c r="I37" s="173" t="s">
        <v>199</v>
      </c>
      <c r="J37" s="174"/>
      <c r="K37" s="174">
        <v>450</v>
      </c>
      <c r="L37" s="174"/>
      <c r="M37" s="174"/>
      <c r="N37" s="174"/>
      <c r="O37" s="174">
        <f t="shared" si="13"/>
        <v>450</v>
      </c>
      <c r="P37" s="188"/>
      <c r="Q37" s="187"/>
      <c r="R37" s="187"/>
      <c r="S37" s="187"/>
      <c r="T37" s="187"/>
      <c r="U37" s="187"/>
      <c r="V37" s="187"/>
    </row>
    <row r="38" spans="1:22" hidden="1">
      <c r="A38" s="188"/>
      <c r="B38" s="187"/>
      <c r="C38" s="187"/>
      <c r="D38" s="187"/>
      <c r="E38" s="187"/>
      <c r="F38" s="187"/>
      <c r="G38" s="187"/>
      <c r="I38" s="173" t="s">
        <v>17</v>
      </c>
      <c r="J38" s="174"/>
      <c r="K38" s="174">
        <v>166</v>
      </c>
      <c r="L38" s="174"/>
      <c r="M38" s="174"/>
      <c r="N38" s="174"/>
      <c r="O38" s="174">
        <f t="shared" si="13"/>
        <v>166</v>
      </c>
      <c r="P38" s="188"/>
      <c r="Q38" s="187"/>
      <c r="R38" s="187"/>
      <c r="S38" s="187"/>
      <c r="T38" s="187"/>
      <c r="U38" s="187"/>
      <c r="V38" s="187"/>
    </row>
    <row r="39" spans="1:22" hidden="1">
      <c r="A39" s="188"/>
      <c r="B39" s="187"/>
      <c r="C39" s="187"/>
      <c r="D39" s="187"/>
      <c r="E39" s="187"/>
      <c r="F39" s="187"/>
      <c r="G39" s="187"/>
      <c r="I39" s="173" t="s">
        <v>198</v>
      </c>
      <c r="J39" s="174"/>
      <c r="K39" s="174">
        <v>412</v>
      </c>
      <c r="L39" s="174"/>
      <c r="M39" s="174">
        <v>6</v>
      </c>
      <c r="N39" s="174"/>
      <c r="O39" s="174">
        <f t="shared" si="13"/>
        <v>418</v>
      </c>
      <c r="P39" s="188"/>
      <c r="Q39" s="187"/>
      <c r="R39" s="187"/>
      <c r="S39" s="187"/>
      <c r="T39" s="187"/>
      <c r="U39" s="187"/>
      <c r="V39" s="187"/>
    </row>
    <row r="40" spans="1:22" hidden="1">
      <c r="A40" s="188"/>
      <c r="B40" s="187"/>
      <c r="C40" s="187"/>
      <c r="D40" s="187"/>
      <c r="E40" s="187"/>
      <c r="F40" s="187"/>
      <c r="G40" s="187"/>
      <c r="I40" s="182" t="s">
        <v>3</v>
      </c>
      <c r="J40" s="106">
        <f t="shared" ref="J40:O40" si="14">SUM(J37:J39)</f>
        <v>0</v>
      </c>
      <c r="K40" s="106">
        <f t="shared" si="14"/>
        <v>1028</v>
      </c>
      <c r="L40" s="106">
        <f t="shared" si="14"/>
        <v>0</v>
      </c>
      <c r="M40" s="106">
        <f t="shared" si="14"/>
        <v>6</v>
      </c>
      <c r="N40" s="106">
        <f t="shared" si="14"/>
        <v>0</v>
      </c>
      <c r="O40" s="106">
        <f t="shared" si="14"/>
        <v>1034</v>
      </c>
      <c r="P40" s="188"/>
      <c r="Q40" s="187"/>
      <c r="R40" s="187"/>
      <c r="S40" s="187"/>
      <c r="T40" s="187"/>
      <c r="U40" s="187"/>
      <c r="V40" s="187"/>
    </row>
    <row r="41" spans="1:22" hidden="1">
      <c r="A41" s="176"/>
      <c r="B41" s="160"/>
      <c r="C41" s="160"/>
      <c r="D41" s="160"/>
      <c r="E41" s="160"/>
      <c r="F41" s="160"/>
      <c r="G41" s="160"/>
      <c r="I41" s="191" t="s">
        <v>59</v>
      </c>
      <c r="J41" s="192">
        <f t="shared" ref="J41:O41" si="15">SUM(J36,J40)</f>
        <v>0</v>
      </c>
      <c r="K41" s="192">
        <f t="shared" si="15"/>
        <v>2339</v>
      </c>
      <c r="L41" s="192">
        <f t="shared" si="15"/>
        <v>1346</v>
      </c>
      <c r="M41" s="192">
        <f t="shared" si="15"/>
        <v>6</v>
      </c>
      <c r="N41" s="192">
        <f t="shared" si="15"/>
        <v>5</v>
      </c>
      <c r="O41" s="192">
        <f t="shared" si="15"/>
        <v>3696</v>
      </c>
      <c r="P41" s="176"/>
      <c r="Q41" s="160"/>
      <c r="R41" s="160"/>
      <c r="S41" s="160"/>
      <c r="T41" s="160"/>
      <c r="U41" s="160"/>
      <c r="V41" s="160"/>
    </row>
    <row r="42" spans="1:22" hidden="1">
      <c r="A42" s="175"/>
      <c r="B42" s="159"/>
      <c r="C42" s="159"/>
      <c r="D42" s="159"/>
      <c r="E42" s="159"/>
      <c r="F42" s="159"/>
      <c r="G42" s="159"/>
      <c r="P42" s="175"/>
      <c r="Q42" s="159"/>
      <c r="R42" s="159"/>
      <c r="S42" s="159"/>
      <c r="T42" s="159"/>
      <c r="U42" s="159"/>
      <c r="V42" s="159"/>
    </row>
    <row r="43" spans="1:22" hidden="1">
      <c r="A43" s="175"/>
      <c r="B43" s="159"/>
      <c r="C43" s="159"/>
      <c r="D43" s="159"/>
      <c r="E43" s="159"/>
      <c r="F43" s="159"/>
      <c r="G43" s="159"/>
      <c r="P43" s="175"/>
      <c r="Q43" s="159"/>
      <c r="R43" s="159"/>
      <c r="S43" s="159"/>
      <c r="T43" s="159"/>
      <c r="U43" s="159"/>
      <c r="V43" s="159"/>
    </row>
    <row r="44" spans="1:22" hidden="1">
      <c r="A44" s="183"/>
      <c r="B44" s="184"/>
      <c r="C44" s="184"/>
      <c r="D44" s="184"/>
      <c r="E44" s="184"/>
      <c r="F44" s="184"/>
      <c r="G44" s="184"/>
      <c r="P44" s="183"/>
      <c r="Q44" s="184"/>
      <c r="R44" s="184"/>
      <c r="S44" s="184"/>
      <c r="T44" s="184"/>
      <c r="U44" s="184"/>
      <c r="V44" s="184"/>
    </row>
    <row r="45" spans="1:22" hidden="1">
      <c r="A45" s="183"/>
      <c r="B45" s="184"/>
      <c r="C45" s="184"/>
      <c r="D45" s="184"/>
      <c r="E45" s="184"/>
      <c r="F45" s="184"/>
      <c r="G45" s="184"/>
      <c r="P45" s="183"/>
      <c r="Q45" s="184"/>
      <c r="R45" s="184"/>
      <c r="S45" s="184"/>
      <c r="T45" s="184"/>
      <c r="U45" s="184"/>
      <c r="V45" s="184"/>
    </row>
    <row r="46" spans="1:22" hidden="1">
      <c r="A46" s="176"/>
      <c r="B46" s="160"/>
      <c r="C46" s="160"/>
      <c r="D46" s="160"/>
      <c r="E46" s="160"/>
      <c r="F46" s="160"/>
      <c r="G46" s="160"/>
      <c r="P46" s="176"/>
      <c r="Q46" s="160"/>
      <c r="R46" s="160"/>
      <c r="S46" s="160"/>
      <c r="T46" s="160"/>
      <c r="U46" s="160"/>
      <c r="V46" s="160"/>
    </row>
    <row r="47" spans="1:22" hidden="1">
      <c r="A47" s="175"/>
      <c r="B47" s="159"/>
      <c r="C47" s="159"/>
      <c r="D47" s="159"/>
      <c r="E47" s="159"/>
      <c r="F47" s="159"/>
      <c r="G47" s="159"/>
      <c r="P47" s="175"/>
      <c r="Q47" s="159"/>
      <c r="R47" s="159"/>
      <c r="S47" s="159"/>
      <c r="T47" s="159"/>
      <c r="U47" s="159"/>
      <c r="V47" s="159"/>
    </row>
    <row r="48" spans="1:22" hidden="1">
      <c r="A48" s="175"/>
      <c r="B48" s="159"/>
      <c r="C48" s="159"/>
      <c r="D48" s="159"/>
      <c r="E48" s="159"/>
      <c r="F48" s="159"/>
      <c r="G48" s="159"/>
      <c r="P48" s="175"/>
      <c r="Q48" s="159"/>
      <c r="R48" s="159"/>
      <c r="S48" s="159"/>
      <c r="T48" s="159"/>
      <c r="U48" s="159"/>
      <c r="V48" s="159"/>
    </row>
    <row r="49" spans="1:22" hidden="1">
      <c r="A49" s="176"/>
      <c r="B49" s="160"/>
      <c r="C49" s="160"/>
      <c r="D49" s="160"/>
      <c r="E49" s="160"/>
      <c r="F49" s="160"/>
      <c r="G49" s="160"/>
      <c r="P49" s="176"/>
      <c r="Q49" s="160"/>
      <c r="R49" s="160"/>
      <c r="S49" s="160"/>
      <c r="T49" s="160"/>
      <c r="U49" s="160"/>
      <c r="V49" s="160"/>
    </row>
    <row r="50" spans="1:22" hidden="1">
      <c r="A50" s="178"/>
      <c r="B50" s="162"/>
      <c r="C50" s="162"/>
      <c r="D50" s="162"/>
      <c r="E50" s="162"/>
      <c r="F50" s="162"/>
      <c r="G50" s="162"/>
      <c r="P50" s="178"/>
      <c r="Q50" s="162"/>
      <c r="R50" s="162"/>
      <c r="S50" s="162"/>
      <c r="T50" s="162"/>
      <c r="U50" s="162"/>
      <c r="V50" s="162"/>
    </row>
    <row r="51" spans="1:22" hidden="1">
      <c r="A51" s="188"/>
      <c r="B51" s="187"/>
      <c r="C51" s="187"/>
      <c r="D51" s="187"/>
      <c r="E51" s="187"/>
      <c r="F51" s="187"/>
      <c r="G51" s="187"/>
      <c r="P51" s="188"/>
      <c r="Q51" s="187"/>
      <c r="R51" s="187"/>
      <c r="S51" s="187"/>
      <c r="T51" s="187"/>
      <c r="U51" s="187"/>
      <c r="V51" s="187"/>
    </row>
    <row r="52" spans="1:22" hidden="1">
      <c r="A52" s="188"/>
      <c r="B52" s="187"/>
      <c r="C52" s="187"/>
      <c r="D52" s="187"/>
      <c r="E52" s="187"/>
      <c r="F52" s="187"/>
      <c r="G52" s="187"/>
      <c r="P52" s="188"/>
      <c r="Q52" s="187"/>
      <c r="R52" s="187"/>
      <c r="S52" s="187"/>
      <c r="T52" s="187"/>
      <c r="U52" s="187"/>
      <c r="V52" s="187"/>
    </row>
    <row r="53" spans="1:22" hidden="1">
      <c r="A53" s="188"/>
      <c r="B53" s="187"/>
      <c r="C53" s="187"/>
      <c r="D53" s="187"/>
      <c r="E53" s="187"/>
      <c r="F53" s="187"/>
      <c r="G53" s="187"/>
      <c r="P53" s="188"/>
      <c r="Q53" s="187"/>
      <c r="R53" s="187"/>
      <c r="S53" s="187"/>
      <c r="T53" s="187"/>
      <c r="U53" s="187"/>
      <c r="V53" s="187"/>
    </row>
    <row r="54" spans="1:22" hidden="1">
      <c r="A54" s="188"/>
      <c r="B54" s="187"/>
      <c r="C54" s="187"/>
      <c r="D54" s="187"/>
      <c r="E54" s="187"/>
      <c r="F54" s="187"/>
      <c r="G54" s="187"/>
      <c r="P54" s="188"/>
      <c r="Q54" s="187"/>
      <c r="R54" s="187"/>
      <c r="S54" s="187"/>
      <c r="T54" s="187"/>
      <c r="U54" s="187"/>
      <c r="V54" s="187"/>
    </row>
    <row r="55" spans="1:22" hidden="1">
      <c r="A55" s="188"/>
      <c r="B55" s="187"/>
      <c r="C55" s="187"/>
      <c r="D55" s="187"/>
      <c r="E55" s="187"/>
      <c r="F55" s="187"/>
      <c r="G55" s="187"/>
      <c r="P55" s="188"/>
      <c r="Q55" s="187"/>
      <c r="R55" s="187"/>
      <c r="S55" s="187"/>
      <c r="T55" s="187"/>
      <c r="U55" s="187"/>
      <c r="V55" s="187"/>
    </row>
    <row r="56" spans="1:22" hidden="1">
      <c r="A56" s="188"/>
      <c r="B56" s="187"/>
      <c r="C56" s="187"/>
      <c r="D56" s="187"/>
      <c r="E56" s="187"/>
      <c r="F56" s="187"/>
      <c r="G56" s="187"/>
      <c r="P56" s="188"/>
      <c r="Q56" s="187"/>
      <c r="R56" s="187"/>
      <c r="S56" s="187"/>
      <c r="T56" s="187"/>
      <c r="U56" s="187"/>
      <c r="V56" s="187"/>
    </row>
    <row r="57" spans="1:22" hidden="1">
      <c r="A57" s="188"/>
      <c r="B57" s="187"/>
      <c r="C57" s="187"/>
      <c r="D57" s="187"/>
      <c r="E57" s="187"/>
      <c r="F57" s="187"/>
      <c r="G57" s="187"/>
      <c r="P57" s="188"/>
      <c r="Q57" s="187"/>
      <c r="R57" s="187"/>
      <c r="S57" s="187"/>
      <c r="T57" s="187"/>
      <c r="U57" s="187"/>
      <c r="V57" s="187"/>
    </row>
    <row r="58" spans="1:22" hidden="1">
      <c r="A58" s="188"/>
      <c r="B58" s="187"/>
      <c r="C58" s="187"/>
      <c r="D58" s="187"/>
      <c r="E58" s="187"/>
      <c r="F58" s="187"/>
      <c r="G58" s="187"/>
      <c r="P58" s="188"/>
      <c r="Q58" s="187"/>
      <c r="R58" s="187"/>
      <c r="S58" s="187"/>
      <c r="T58" s="187"/>
      <c r="U58" s="187"/>
      <c r="V58" s="187"/>
    </row>
    <row r="59" spans="1:22" hidden="1">
      <c r="A59" s="188"/>
      <c r="B59" s="187"/>
      <c r="C59" s="187"/>
      <c r="D59" s="187"/>
      <c r="E59" s="187"/>
      <c r="F59" s="187"/>
      <c r="G59" s="187"/>
      <c r="P59" s="188"/>
      <c r="Q59" s="187"/>
      <c r="R59" s="187"/>
      <c r="S59" s="187"/>
      <c r="T59" s="187"/>
      <c r="U59" s="187"/>
      <c r="V59" s="187"/>
    </row>
    <row r="60" spans="1:22" hidden="1">
      <c r="A60" s="178"/>
      <c r="B60" s="162"/>
      <c r="C60" s="162"/>
      <c r="D60" s="162"/>
      <c r="E60" s="162"/>
      <c r="F60" s="162"/>
      <c r="G60" s="162"/>
      <c r="P60" s="178"/>
      <c r="Q60" s="162"/>
      <c r="R60" s="162"/>
      <c r="S60" s="162"/>
      <c r="T60" s="162"/>
      <c r="U60" s="162"/>
      <c r="V60" s="162"/>
    </row>
    <row r="61" spans="1:22" hidden="1">
      <c r="A61" s="188"/>
      <c r="B61" s="187"/>
      <c r="C61" s="187"/>
      <c r="D61" s="187"/>
      <c r="E61" s="187"/>
      <c r="F61" s="187"/>
      <c r="G61" s="187"/>
      <c r="P61" s="188"/>
      <c r="Q61" s="187"/>
      <c r="R61" s="187"/>
      <c r="S61" s="187"/>
      <c r="T61" s="187"/>
      <c r="U61" s="187"/>
      <c r="V61" s="187"/>
    </row>
    <row r="62" spans="1:22" hidden="1">
      <c r="A62" s="188"/>
      <c r="B62" s="187"/>
      <c r="C62" s="187"/>
      <c r="D62" s="187"/>
      <c r="E62" s="187"/>
      <c r="F62" s="187"/>
      <c r="G62" s="187"/>
      <c r="P62" s="188"/>
      <c r="Q62" s="187"/>
      <c r="R62" s="187"/>
      <c r="S62" s="187"/>
      <c r="T62" s="187"/>
      <c r="U62" s="187"/>
      <c r="V62" s="187"/>
    </row>
    <row r="63" spans="1:22" hidden="1">
      <c r="A63" s="188"/>
      <c r="B63" s="187"/>
      <c r="C63" s="187"/>
      <c r="D63" s="187"/>
      <c r="E63" s="187"/>
      <c r="F63" s="187"/>
      <c r="G63" s="187"/>
      <c r="P63" s="188"/>
      <c r="Q63" s="187"/>
      <c r="R63" s="187"/>
      <c r="S63" s="187"/>
      <c r="T63" s="187"/>
      <c r="U63" s="187"/>
      <c r="V63" s="187"/>
    </row>
    <row r="64" spans="1:22" hidden="1">
      <c r="A64" s="188"/>
      <c r="B64" s="187"/>
      <c r="C64" s="187"/>
      <c r="D64" s="187"/>
      <c r="E64" s="187"/>
      <c r="F64" s="187"/>
      <c r="G64" s="187"/>
      <c r="P64" s="188"/>
      <c r="Q64" s="187"/>
      <c r="R64" s="187"/>
      <c r="S64" s="187"/>
      <c r="T64" s="187"/>
      <c r="U64" s="187"/>
      <c r="V64" s="187"/>
    </row>
    <row r="65" spans="1:22" hidden="1">
      <c r="A65" s="177"/>
      <c r="B65" s="161"/>
      <c r="C65" s="161"/>
      <c r="D65" s="161"/>
      <c r="E65" s="161"/>
      <c r="F65" s="161"/>
      <c r="G65" s="161"/>
      <c r="P65" s="177"/>
      <c r="Q65" s="161"/>
      <c r="R65" s="161"/>
      <c r="S65" s="161"/>
      <c r="T65" s="161"/>
      <c r="U65" s="161"/>
      <c r="V65" s="161"/>
    </row>
    <row r="66" spans="1:22" hidden="1">
      <c r="A66" s="188"/>
      <c r="B66" s="187"/>
      <c r="C66" s="187"/>
      <c r="D66" s="187"/>
      <c r="E66" s="187"/>
      <c r="F66" s="187"/>
      <c r="G66" s="187"/>
      <c r="P66" s="188"/>
      <c r="Q66" s="187"/>
      <c r="R66" s="187"/>
      <c r="S66" s="187"/>
      <c r="T66" s="187"/>
      <c r="U66" s="187"/>
      <c r="V66" s="187"/>
    </row>
    <row r="67" spans="1:22" hidden="1">
      <c r="A67" s="188"/>
      <c r="B67" s="187"/>
      <c r="C67" s="187"/>
      <c r="D67" s="187"/>
      <c r="E67" s="187"/>
      <c r="F67" s="187"/>
      <c r="G67" s="187"/>
      <c r="P67" s="188"/>
      <c r="Q67" s="187"/>
      <c r="R67" s="187"/>
      <c r="S67" s="187"/>
      <c r="T67" s="187"/>
      <c r="U67" s="187"/>
      <c r="V67" s="187"/>
    </row>
    <row r="68" spans="1:22" hidden="1">
      <c r="A68" s="177"/>
      <c r="B68" s="161"/>
      <c r="C68" s="161"/>
      <c r="D68" s="161"/>
      <c r="E68" s="161"/>
      <c r="F68" s="161"/>
      <c r="G68" s="161"/>
      <c r="P68" s="177"/>
      <c r="Q68" s="161"/>
      <c r="R68" s="161"/>
      <c r="S68" s="161"/>
      <c r="T68" s="161"/>
      <c r="U68" s="161"/>
      <c r="V68" s="161"/>
    </row>
    <row r="69" spans="1:22" hidden="1">
      <c r="A69" s="176"/>
      <c r="B69" s="160"/>
      <c r="C69" s="160"/>
      <c r="D69" s="160"/>
      <c r="E69" s="160"/>
      <c r="F69" s="160"/>
      <c r="G69" s="160"/>
      <c r="P69" s="176"/>
      <c r="Q69" s="160"/>
      <c r="R69" s="160"/>
      <c r="S69" s="160"/>
      <c r="T69" s="160"/>
      <c r="U69" s="160"/>
      <c r="V69" s="160"/>
    </row>
    <row r="70" spans="1:22" hidden="1">
      <c r="A70" s="177"/>
      <c r="B70" s="161"/>
      <c r="C70" s="161"/>
      <c r="D70" s="161"/>
      <c r="E70" s="161"/>
      <c r="F70" s="161"/>
      <c r="G70" s="161"/>
      <c r="P70" s="177"/>
      <c r="Q70" s="161"/>
      <c r="R70" s="161"/>
      <c r="S70" s="161"/>
      <c r="T70" s="161"/>
      <c r="U70" s="161"/>
      <c r="V70" s="161"/>
    </row>
    <row r="71" spans="1:22" hidden="1">
      <c r="A71" s="177"/>
      <c r="B71" s="161"/>
      <c r="C71" s="161"/>
      <c r="D71" s="161"/>
      <c r="E71" s="161"/>
      <c r="F71" s="161"/>
      <c r="G71" s="161"/>
      <c r="P71" s="177"/>
      <c r="Q71" s="161"/>
      <c r="R71" s="161"/>
      <c r="S71" s="161"/>
      <c r="T71" s="161"/>
      <c r="U71" s="161"/>
      <c r="V71" s="161"/>
    </row>
    <row r="72" spans="1:22" hidden="1">
      <c r="A72" s="177"/>
      <c r="B72" s="161"/>
      <c r="C72" s="161"/>
      <c r="D72" s="161"/>
      <c r="E72" s="161"/>
      <c r="F72" s="161"/>
      <c r="G72" s="161"/>
      <c r="P72" s="177"/>
      <c r="Q72" s="161"/>
      <c r="R72" s="161"/>
      <c r="S72" s="161"/>
      <c r="T72" s="161"/>
      <c r="U72" s="161"/>
      <c r="V72" s="161"/>
    </row>
    <row r="73" spans="1:22" hidden="1">
      <c r="A73" s="176"/>
      <c r="B73" s="160"/>
      <c r="C73" s="160"/>
      <c r="D73" s="160"/>
      <c r="E73" s="160"/>
      <c r="F73" s="160"/>
      <c r="G73" s="160"/>
      <c r="P73" s="176"/>
      <c r="Q73" s="160"/>
      <c r="R73" s="160"/>
      <c r="S73" s="160"/>
      <c r="T73" s="160"/>
      <c r="U73" s="160"/>
      <c r="V73" s="160"/>
    </row>
    <row r="74" spans="1:22" hidden="1">
      <c r="A74" s="178"/>
      <c r="B74" s="162"/>
      <c r="C74" s="162"/>
      <c r="D74" s="162"/>
      <c r="E74" s="162"/>
      <c r="F74" s="162"/>
      <c r="G74" s="162"/>
      <c r="P74" s="178"/>
      <c r="Q74" s="162"/>
      <c r="R74" s="162"/>
      <c r="S74" s="162"/>
      <c r="T74" s="162"/>
      <c r="U74" s="162"/>
      <c r="V74" s="162"/>
    </row>
    <row r="75" spans="1:22" hidden="1">
      <c r="A75" s="188"/>
      <c r="B75" s="187"/>
      <c r="C75" s="187"/>
      <c r="D75" s="187"/>
      <c r="E75" s="187"/>
      <c r="F75" s="187"/>
      <c r="G75" s="187"/>
      <c r="P75" s="188"/>
      <c r="Q75" s="187"/>
      <c r="R75" s="187"/>
      <c r="S75" s="187"/>
      <c r="T75" s="187"/>
      <c r="U75" s="187"/>
      <c r="V75" s="187"/>
    </row>
    <row r="76" spans="1:22" hidden="1">
      <c r="A76" s="177"/>
      <c r="B76" s="161"/>
      <c r="C76" s="161"/>
      <c r="D76" s="161"/>
      <c r="E76" s="161"/>
      <c r="F76" s="161"/>
      <c r="G76" s="161"/>
      <c r="P76" s="177"/>
      <c r="Q76" s="161"/>
      <c r="R76" s="161"/>
      <c r="S76" s="161"/>
      <c r="T76" s="161"/>
      <c r="U76" s="161"/>
      <c r="V76" s="161"/>
    </row>
    <row r="77" spans="1:22" hidden="1">
      <c r="A77" s="177"/>
      <c r="B77" s="161"/>
      <c r="C77" s="161"/>
      <c r="D77" s="161"/>
      <c r="E77" s="161"/>
      <c r="F77" s="161"/>
      <c r="G77" s="161"/>
      <c r="P77" s="177"/>
      <c r="Q77" s="161"/>
      <c r="R77" s="161"/>
      <c r="S77" s="161"/>
      <c r="T77" s="161"/>
      <c r="U77" s="161"/>
      <c r="V77" s="161"/>
    </row>
    <row r="78" spans="1:22" hidden="1">
      <c r="A78" s="177"/>
      <c r="B78" s="161"/>
      <c r="C78" s="161"/>
      <c r="D78" s="161"/>
      <c r="E78" s="161"/>
      <c r="F78" s="161"/>
      <c r="G78" s="161"/>
      <c r="P78" s="177"/>
      <c r="Q78" s="161"/>
      <c r="R78" s="161"/>
      <c r="S78" s="161"/>
      <c r="T78" s="161"/>
      <c r="U78" s="161"/>
      <c r="V78" s="161"/>
    </row>
    <row r="79" spans="1:22" hidden="1">
      <c r="A79" s="177"/>
      <c r="B79" s="161"/>
      <c r="C79" s="161"/>
      <c r="D79" s="161"/>
      <c r="E79" s="161"/>
      <c r="F79" s="161"/>
      <c r="G79" s="161"/>
      <c r="P79" s="177"/>
      <c r="Q79" s="161"/>
      <c r="R79" s="161"/>
      <c r="S79" s="161"/>
      <c r="T79" s="161"/>
      <c r="U79" s="161"/>
      <c r="V79" s="161"/>
    </row>
    <row r="80" spans="1:22" hidden="1">
      <c r="A80" s="177"/>
      <c r="B80" s="161"/>
      <c r="C80" s="161"/>
      <c r="D80" s="161"/>
      <c r="E80" s="161"/>
      <c r="F80" s="161"/>
      <c r="G80" s="161"/>
      <c r="P80" s="177"/>
      <c r="Q80" s="161"/>
      <c r="R80" s="161"/>
      <c r="S80" s="161"/>
      <c r="T80" s="161"/>
      <c r="U80" s="161"/>
      <c r="V80" s="161"/>
    </row>
    <row r="81" spans="1:22" hidden="1">
      <c r="A81" s="177"/>
      <c r="B81" s="161"/>
      <c r="C81" s="161"/>
      <c r="D81" s="161"/>
      <c r="E81" s="161"/>
      <c r="F81" s="161"/>
      <c r="G81" s="161"/>
      <c r="P81" s="177"/>
      <c r="Q81" s="161"/>
      <c r="R81" s="161"/>
      <c r="S81" s="161"/>
      <c r="T81" s="161"/>
      <c r="U81" s="161"/>
      <c r="V81" s="161"/>
    </row>
    <row r="82" spans="1:22" hidden="1">
      <c r="A82" s="177"/>
      <c r="B82" s="161"/>
      <c r="C82" s="161"/>
      <c r="D82" s="161"/>
      <c r="E82" s="161"/>
      <c r="F82" s="161"/>
      <c r="G82" s="161"/>
      <c r="P82" s="177"/>
      <c r="Q82" s="161"/>
      <c r="R82" s="161"/>
      <c r="S82" s="161"/>
      <c r="T82" s="161"/>
      <c r="U82" s="161"/>
      <c r="V82" s="161"/>
    </row>
    <row r="83" spans="1:22" hidden="1">
      <c r="A83" s="188"/>
      <c r="B83" s="187"/>
      <c r="C83" s="187"/>
      <c r="D83" s="187"/>
      <c r="E83" s="187"/>
      <c r="F83" s="187"/>
      <c r="G83" s="187"/>
      <c r="P83" s="188"/>
      <c r="Q83" s="187"/>
      <c r="R83" s="187"/>
      <c r="S83" s="187"/>
      <c r="T83" s="187"/>
      <c r="U83" s="187"/>
      <c r="V83" s="187"/>
    </row>
    <row r="84" spans="1:22" hidden="1">
      <c r="A84" s="188"/>
      <c r="B84" s="187"/>
      <c r="C84" s="187"/>
      <c r="D84" s="187"/>
      <c r="E84" s="187"/>
      <c r="F84" s="187"/>
      <c r="G84" s="187"/>
      <c r="P84" s="188"/>
      <c r="Q84" s="187"/>
      <c r="R84" s="187"/>
      <c r="S84" s="187"/>
      <c r="T84" s="187"/>
      <c r="U84" s="187"/>
      <c r="V84" s="187"/>
    </row>
    <row r="85" spans="1:22" hidden="1">
      <c r="A85" s="177"/>
      <c r="B85" s="161"/>
      <c r="C85" s="161"/>
      <c r="D85" s="161"/>
      <c r="E85" s="161"/>
      <c r="F85" s="161"/>
      <c r="G85" s="161"/>
      <c r="P85" s="177"/>
      <c r="Q85" s="161"/>
      <c r="R85" s="161"/>
      <c r="S85" s="161"/>
      <c r="T85" s="161"/>
      <c r="U85" s="161"/>
      <c r="V85" s="161"/>
    </row>
    <row r="86" spans="1:22" hidden="1">
      <c r="A86" s="177"/>
      <c r="B86" s="161"/>
      <c r="C86" s="161"/>
      <c r="D86" s="161"/>
      <c r="E86" s="161"/>
      <c r="F86" s="161"/>
      <c r="G86" s="161"/>
      <c r="P86" s="177"/>
      <c r="Q86" s="161"/>
      <c r="R86" s="161"/>
      <c r="S86" s="161"/>
      <c r="T86" s="161"/>
      <c r="U86" s="161"/>
      <c r="V86" s="161"/>
    </row>
    <row r="87" spans="1:22" hidden="1">
      <c r="A87" s="188"/>
      <c r="B87" s="187"/>
      <c r="C87" s="187"/>
      <c r="D87" s="187"/>
      <c r="E87" s="187"/>
      <c r="F87" s="187"/>
      <c r="G87" s="187"/>
      <c r="P87" s="188"/>
      <c r="Q87" s="187"/>
      <c r="R87" s="187"/>
      <c r="S87" s="187"/>
      <c r="T87" s="187"/>
      <c r="U87" s="187"/>
      <c r="V87" s="187"/>
    </row>
    <row r="88" spans="1:22" hidden="1">
      <c r="A88" s="177"/>
      <c r="B88" s="161"/>
      <c r="C88" s="161"/>
      <c r="D88" s="161"/>
      <c r="E88" s="161"/>
      <c r="F88" s="161"/>
      <c r="G88" s="161"/>
      <c r="P88" s="177"/>
      <c r="Q88" s="161"/>
      <c r="R88" s="161"/>
      <c r="S88" s="161"/>
      <c r="T88" s="161"/>
      <c r="U88" s="161"/>
      <c r="V88" s="161"/>
    </row>
    <row r="89" spans="1:22" hidden="1">
      <c r="A89" s="177"/>
      <c r="B89" s="161"/>
      <c r="C89" s="161"/>
      <c r="D89" s="161"/>
      <c r="E89" s="161"/>
      <c r="F89" s="161"/>
      <c r="G89" s="161"/>
      <c r="P89" s="177"/>
      <c r="Q89" s="161"/>
      <c r="R89" s="161"/>
      <c r="S89" s="161"/>
      <c r="T89" s="161"/>
      <c r="U89" s="161"/>
      <c r="V89" s="161"/>
    </row>
    <row r="90" spans="1:22" hidden="1">
      <c r="A90" s="176"/>
      <c r="B90" s="160"/>
      <c r="C90" s="160"/>
      <c r="D90" s="160"/>
      <c r="E90" s="160"/>
      <c r="F90" s="160"/>
      <c r="G90" s="160"/>
      <c r="P90" s="176"/>
      <c r="Q90" s="160"/>
      <c r="R90" s="160"/>
      <c r="S90" s="160"/>
      <c r="T90" s="160"/>
      <c r="U90" s="160"/>
      <c r="V90" s="160"/>
    </row>
    <row r="91" spans="1:22" hidden="1">
      <c r="A91" s="178"/>
      <c r="B91" s="162"/>
      <c r="C91" s="162"/>
      <c r="D91" s="162"/>
      <c r="E91" s="162"/>
      <c r="F91" s="162"/>
      <c r="G91" s="162"/>
      <c r="P91" s="178"/>
      <c r="Q91" s="162"/>
      <c r="R91" s="162"/>
      <c r="S91" s="162"/>
      <c r="T91" s="162"/>
      <c r="U91" s="162"/>
      <c r="V91" s="162"/>
    </row>
    <row r="92" spans="1:22" hidden="1">
      <c r="A92" s="188"/>
      <c r="B92" s="187"/>
      <c r="C92" s="187"/>
      <c r="D92" s="187"/>
      <c r="E92" s="187"/>
      <c r="F92" s="187"/>
      <c r="G92" s="187"/>
      <c r="P92" s="188"/>
      <c r="Q92" s="187"/>
      <c r="R92" s="187"/>
      <c r="S92" s="187"/>
      <c r="T92" s="187"/>
      <c r="U92" s="187"/>
      <c r="V92" s="187"/>
    </row>
    <row r="93" spans="1:22" hidden="1">
      <c r="A93" s="188"/>
      <c r="B93" s="187"/>
      <c r="C93" s="187"/>
      <c r="D93" s="187"/>
      <c r="E93" s="187"/>
      <c r="F93" s="187"/>
      <c r="G93" s="187"/>
      <c r="P93" s="188"/>
      <c r="Q93" s="187"/>
      <c r="R93" s="187"/>
      <c r="S93" s="187"/>
      <c r="T93" s="187"/>
      <c r="U93" s="187"/>
      <c r="V93" s="187"/>
    </row>
    <row r="94" spans="1:22" hidden="1">
      <c r="A94" s="188"/>
      <c r="B94" s="187"/>
      <c r="C94" s="187"/>
      <c r="D94" s="187"/>
      <c r="E94" s="187"/>
      <c r="F94" s="187"/>
      <c r="G94" s="187"/>
      <c r="P94" s="188"/>
      <c r="Q94" s="187"/>
      <c r="R94" s="187"/>
      <c r="S94" s="187"/>
      <c r="T94" s="187"/>
      <c r="U94" s="187"/>
      <c r="V94" s="187"/>
    </row>
    <row r="95" spans="1:22" hidden="1">
      <c r="A95" s="188"/>
      <c r="B95" s="187"/>
      <c r="C95" s="187"/>
      <c r="D95" s="187"/>
      <c r="E95" s="187"/>
      <c r="F95" s="187"/>
      <c r="G95" s="187"/>
      <c r="P95" s="188"/>
      <c r="Q95" s="187"/>
      <c r="R95" s="187"/>
      <c r="S95" s="187"/>
      <c r="T95" s="187"/>
      <c r="U95" s="187"/>
      <c r="V95" s="187"/>
    </row>
    <row r="96" spans="1:22" hidden="1">
      <c r="A96" s="188"/>
      <c r="B96" s="187"/>
      <c r="C96" s="187"/>
      <c r="D96" s="187"/>
      <c r="E96" s="187"/>
      <c r="F96" s="187"/>
      <c r="G96" s="187"/>
      <c r="P96" s="188"/>
      <c r="Q96" s="187"/>
      <c r="R96" s="187"/>
      <c r="S96" s="187"/>
      <c r="T96" s="187"/>
      <c r="U96" s="187"/>
      <c r="V96" s="187"/>
    </row>
    <row r="97" spans="1:22" hidden="1">
      <c r="A97" s="188"/>
      <c r="B97" s="187"/>
      <c r="C97" s="187"/>
      <c r="D97" s="187"/>
      <c r="E97" s="187"/>
      <c r="F97" s="187"/>
      <c r="G97" s="187"/>
      <c r="P97" s="188"/>
      <c r="Q97" s="187"/>
      <c r="R97" s="187"/>
      <c r="S97" s="187"/>
      <c r="T97" s="187"/>
      <c r="U97" s="187"/>
      <c r="V97" s="187"/>
    </row>
    <row r="98" spans="1:22" hidden="1">
      <c r="A98" s="188"/>
      <c r="B98" s="187"/>
      <c r="C98" s="187"/>
      <c r="D98" s="187"/>
      <c r="E98" s="187"/>
      <c r="F98" s="187"/>
      <c r="G98" s="187"/>
      <c r="P98" s="188"/>
      <c r="Q98" s="187"/>
      <c r="R98" s="187"/>
      <c r="S98" s="187"/>
      <c r="T98" s="187"/>
      <c r="U98" s="187"/>
      <c r="V98" s="187"/>
    </row>
    <row r="99" spans="1:22" hidden="1">
      <c r="A99" s="188"/>
      <c r="B99" s="187"/>
      <c r="C99" s="187"/>
      <c r="D99" s="187"/>
      <c r="E99" s="187"/>
      <c r="F99" s="187"/>
      <c r="G99" s="187"/>
      <c r="P99" s="188"/>
      <c r="Q99" s="187"/>
      <c r="R99" s="187"/>
      <c r="S99" s="187"/>
      <c r="T99" s="187"/>
      <c r="U99" s="187"/>
      <c r="V99" s="187"/>
    </row>
    <row r="100" spans="1:22" hidden="1">
      <c r="A100" s="188"/>
      <c r="B100" s="187"/>
      <c r="C100" s="187"/>
      <c r="D100" s="187"/>
      <c r="E100" s="187"/>
      <c r="F100" s="187"/>
      <c r="G100" s="187"/>
      <c r="P100" s="188"/>
      <c r="Q100" s="187"/>
      <c r="R100" s="187"/>
      <c r="S100" s="187"/>
      <c r="T100" s="187"/>
      <c r="U100" s="187"/>
      <c r="V100" s="187"/>
    </row>
    <row r="101" spans="1:22" hidden="1">
      <c r="A101" s="188"/>
      <c r="B101" s="187"/>
      <c r="C101" s="187"/>
      <c r="D101" s="187"/>
      <c r="E101" s="187"/>
      <c r="F101" s="187"/>
      <c r="G101" s="187"/>
      <c r="P101" s="188"/>
      <c r="Q101" s="187"/>
      <c r="R101" s="187"/>
      <c r="S101" s="187"/>
      <c r="T101" s="187"/>
      <c r="U101" s="187"/>
      <c r="V101" s="187"/>
    </row>
    <row r="102" spans="1:22" hidden="1">
      <c r="A102" s="177"/>
      <c r="B102" s="161"/>
      <c r="C102" s="161"/>
      <c r="D102" s="161"/>
      <c r="E102" s="161"/>
      <c r="F102" s="161"/>
      <c r="G102" s="161"/>
      <c r="P102" s="177"/>
      <c r="Q102" s="161"/>
      <c r="R102" s="161"/>
      <c r="S102" s="161"/>
      <c r="T102" s="161"/>
      <c r="U102" s="161"/>
      <c r="V102" s="161"/>
    </row>
    <row r="103" spans="1:22" hidden="1">
      <c r="A103" s="188"/>
      <c r="B103" s="187"/>
      <c r="C103" s="187"/>
      <c r="D103" s="187"/>
      <c r="E103" s="187"/>
      <c r="F103" s="187"/>
      <c r="G103" s="187"/>
      <c r="P103" s="188"/>
      <c r="Q103" s="187"/>
      <c r="R103" s="187"/>
      <c r="S103" s="187"/>
      <c r="T103" s="187"/>
      <c r="U103" s="187"/>
      <c r="V103" s="187"/>
    </row>
    <row r="104" spans="1:22">
      <c r="A104" s="188"/>
      <c r="B104" s="187"/>
      <c r="C104" s="187"/>
      <c r="D104" s="187"/>
      <c r="E104" s="187"/>
      <c r="F104" s="187"/>
      <c r="G104" s="187"/>
      <c r="P104" s="188"/>
      <c r="Q104" s="187"/>
      <c r="R104" s="187"/>
      <c r="S104" s="187"/>
      <c r="T104" s="187"/>
      <c r="U104" s="187"/>
      <c r="V104" s="187"/>
    </row>
    <row r="105" spans="1:22">
      <c r="A105" s="176"/>
      <c r="B105" s="160"/>
      <c r="C105" s="160"/>
      <c r="D105" s="160"/>
      <c r="E105" s="160"/>
      <c r="F105" s="160"/>
      <c r="G105" s="160"/>
      <c r="P105" s="176"/>
      <c r="Q105" s="160"/>
      <c r="R105" s="160"/>
      <c r="S105" s="160"/>
      <c r="T105" s="160"/>
      <c r="U105" s="160"/>
      <c r="V105" s="160"/>
    </row>
    <row r="106" spans="1:22">
      <c r="A106" s="178"/>
      <c r="B106" s="162"/>
      <c r="C106" s="162"/>
      <c r="D106" s="162"/>
      <c r="E106" s="162"/>
      <c r="F106" s="162"/>
      <c r="G106" s="162"/>
      <c r="P106" s="178"/>
      <c r="Q106" s="162"/>
      <c r="R106" s="162"/>
      <c r="S106" s="162"/>
      <c r="T106" s="162"/>
      <c r="U106" s="162"/>
      <c r="V106" s="162"/>
    </row>
    <row r="107" spans="1:22">
      <c r="A107" s="177"/>
      <c r="B107" s="161"/>
      <c r="C107" s="161"/>
      <c r="D107" s="161"/>
      <c r="E107" s="161"/>
      <c r="F107" s="161"/>
      <c r="G107" s="161"/>
      <c r="P107" s="177"/>
      <c r="Q107" s="161"/>
      <c r="R107" s="161"/>
      <c r="S107" s="161"/>
      <c r="T107" s="161"/>
      <c r="U107" s="161"/>
      <c r="V107" s="161"/>
    </row>
    <row r="108" spans="1:22">
      <c r="A108" s="188"/>
      <c r="B108" s="187"/>
      <c r="C108" s="187"/>
      <c r="D108" s="187"/>
      <c r="E108" s="187"/>
      <c r="F108" s="187"/>
      <c r="G108" s="187"/>
      <c r="P108" s="188"/>
      <c r="Q108" s="187"/>
      <c r="R108" s="187"/>
      <c r="S108" s="187"/>
      <c r="T108" s="187"/>
      <c r="U108" s="187"/>
      <c r="V108" s="187"/>
    </row>
    <row r="109" spans="1:22">
      <c r="A109" s="177"/>
      <c r="B109" s="161"/>
      <c r="C109" s="161"/>
      <c r="D109" s="161"/>
      <c r="E109" s="161"/>
      <c r="F109" s="161"/>
      <c r="G109" s="161"/>
      <c r="P109" s="177"/>
      <c r="Q109" s="161"/>
      <c r="R109" s="161"/>
      <c r="S109" s="161"/>
      <c r="T109" s="161"/>
      <c r="U109" s="161"/>
      <c r="V109" s="161"/>
    </row>
    <row r="110" spans="1:22">
      <c r="A110" s="188"/>
      <c r="B110" s="187"/>
      <c r="C110" s="187"/>
      <c r="D110" s="187"/>
      <c r="E110" s="187"/>
      <c r="F110" s="187"/>
      <c r="G110" s="187"/>
      <c r="P110" s="188"/>
      <c r="Q110" s="187"/>
      <c r="R110" s="187"/>
      <c r="S110" s="187"/>
      <c r="T110" s="187"/>
      <c r="U110" s="187"/>
      <c r="V110" s="187"/>
    </row>
    <row r="111" spans="1:22">
      <c r="A111" s="188"/>
      <c r="B111" s="187"/>
      <c r="C111" s="187"/>
      <c r="D111" s="187"/>
      <c r="E111" s="187"/>
      <c r="F111" s="187"/>
      <c r="G111" s="187"/>
      <c r="P111" s="188"/>
      <c r="Q111" s="187"/>
      <c r="R111" s="187"/>
      <c r="S111" s="187"/>
      <c r="T111" s="187"/>
      <c r="U111" s="187"/>
      <c r="V111" s="187"/>
    </row>
    <row r="112" spans="1:22">
      <c r="A112" s="188"/>
      <c r="B112" s="187"/>
      <c r="C112" s="187"/>
      <c r="D112" s="187"/>
      <c r="E112" s="187"/>
      <c r="F112" s="187"/>
      <c r="G112" s="187"/>
      <c r="P112" s="188"/>
      <c r="Q112" s="187"/>
      <c r="R112" s="187"/>
      <c r="S112" s="187"/>
      <c r="T112" s="187"/>
      <c r="U112" s="187"/>
      <c r="V112" s="187"/>
    </row>
    <row r="113" spans="1:22">
      <c r="A113" s="188"/>
      <c r="B113" s="161"/>
      <c r="C113" s="161"/>
      <c r="D113" s="161"/>
      <c r="E113" s="161"/>
      <c r="F113" s="161"/>
      <c r="G113" s="161"/>
      <c r="P113" s="188"/>
      <c r="Q113" s="161"/>
      <c r="R113" s="161"/>
      <c r="S113" s="161"/>
      <c r="T113" s="161"/>
      <c r="U113" s="161"/>
      <c r="V113" s="161"/>
    </row>
    <row r="114" spans="1:22">
      <c r="A114" s="177"/>
      <c r="B114" s="161"/>
      <c r="C114" s="161"/>
      <c r="D114" s="161"/>
      <c r="E114" s="161"/>
      <c r="F114" s="161"/>
      <c r="G114" s="161"/>
      <c r="P114" s="177"/>
      <c r="Q114" s="161"/>
      <c r="R114" s="161"/>
      <c r="S114" s="161"/>
      <c r="T114" s="161"/>
      <c r="U114" s="161"/>
      <c r="V114" s="161"/>
    </row>
    <row r="115" spans="1:22">
      <c r="A115" s="188"/>
      <c r="B115" s="161"/>
      <c r="C115" s="161"/>
      <c r="D115" s="161"/>
      <c r="E115" s="161"/>
      <c r="F115" s="161"/>
      <c r="G115" s="161"/>
      <c r="P115" s="188"/>
      <c r="Q115" s="161"/>
      <c r="R115" s="161"/>
      <c r="S115" s="161"/>
      <c r="T115" s="161"/>
      <c r="U115" s="161"/>
      <c r="V115" s="161"/>
    </row>
    <row r="116" spans="1:22">
      <c r="A116" s="188"/>
      <c r="B116" s="187"/>
      <c r="C116" s="187"/>
      <c r="D116" s="187"/>
      <c r="E116" s="187"/>
      <c r="F116" s="187"/>
      <c r="G116" s="187"/>
      <c r="P116" s="188"/>
      <c r="Q116" s="187"/>
      <c r="R116" s="187"/>
      <c r="S116" s="187"/>
      <c r="T116" s="187"/>
      <c r="U116" s="187"/>
      <c r="V116" s="187"/>
    </row>
    <row r="117" spans="1:22">
      <c r="A117" s="188"/>
      <c r="B117" s="161"/>
      <c r="C117" s="161"/>
      <c r="D117" s="161"/>
      <c r="E117" s="161"/>
      <c r="F117" s="161"/>
      <c r="G117" s="161"/>
      <c r="P117" s="188"/>
      <c r="Q117" s="161"/>
      <c r="R117" s="161"/>
      <c r="S117" s="161"/>
      <c r="T117" s="161"/>
      <c r="U117" s="161"/>
      <c r="V117" s="161"/>
    </row>
    <row r="118" spans="1:22">
      <c r="A118" s="188"/>
      <c r="B118" s="161"/>
      <c r="C118" s="161"/>
      <c r="D118" s="161"/>
      <c r="E118" s="161"/>
      <c r="F118" s="161"/>
      <c r="G118" s="161"/>
      <c r="P118" s="188"/>
      <c r="Q118" s="161"/>
      <c r="R118" s="161"/>
      <c r="S118" s="161"/>
      <c r="T118" s="161"/>
      <c r="U118" s="161"/>
      <c r="V118" s="161"/>
    </row>
    <row r="119" spans="1:22">
      <c r="A119" s="178"/>
      <c r="B119" s="162"/>
      <c r="C119" s="162"/>
      <c r="D119" s="162"/>
      <c r="E119" s="162"/>
      <c r="F119" s="162"/>
      <c r="G119" s="162"/>
      <c r="P119" s="178"/>
      <c r="Q119" s="162"/>
      <c r="R119" s="162"/>
      <c r="S119" s="162"/>
      <c r="T119" s="162"/>
      <c r="U119" s="162"/>
      <c r="V119" s="162"/>
    </row>
    <row r="120" spans="1:22">
      <c r="A120" s="177"/>
      <c r="B120" s="161"/>
      <c r="C120" s="161"/>
      <c r="D120" s="161"/>
      <c r="E120" s="161"/>
      <c r="F120" s="161"/>
      <c r="G120" s="161"/>
      <c r="P120" s="177"/>
      <c r="Q120" s="161"/>
      <c r="R120" s="161"/>
      <c r="S120" s="161"/>
      <c r="T120" s="161"/>
      <c r="U120" s="161"/>
      <c r="V120" s="161"/>
    </row>
    <row r="121" spans="1:22">
      <c r="A121" s="177"/>
      <c r="B121" s="161"/>
      <c r="C121" s="161"/>
      <c r="D121" s="161"/>
      <c r="E121" s="161"/>
      <c r="F121" s="161"/>
      <c r="G121" s="161"/>
      <c r="P121" s="177"/>
      <c r="Q121" s="161"/>
      <c r="R121" s="161"/>
      <c r="S121" s="161"/>
      <c r="T121" s="161"/>
      <c r="U121" s="161"/>
      <c r="V121" s="161"/>
    </row>
  </sheetData>
  <mergeCells count="24">
    <mergeCell ref="A1:G1"/>
    <mergeCell ref="A20:A21"/>
    <mergeCell ref="B20:F20"/>
    <mergeCell ref="G20:G21"/>
    <mergeCell ref="A4:G4"/>
    <mergeCell ref="A6:A7"/>
    <mergeCell ref="B6:F6"/>
    <mergeCell ref="G6:G7"/>
    <mergeCell ref="A19:G19"/>
    <mergeCell ref="J18:N18"/>
    <mergeCell ref="I17:O17"/>
    <mergeCell ref="I30:O30"/>
    <mergeCell ref="J31:N31"/>
    <mergeCell ref="A2:G2"/>
    <mergeCell ref="P19:V19"/>
    <mergeCell ref="P20:P21"/>
    <mergeCell ref="Q20:U20"/>
    <mergeCell ref="V20:V21"/>
    <mergeCell ref="P1:V1"/>
    <mergeCell ref="P2:V2"/>
    <mergeCell ref="P4:V4"/>
    <mergeCell ref="P6:P7"/>
    <mergeCell ref="Q6:U6"/>
    <mergeCell ref="V6:V7"/>
  </mergeCells>
  <printOptions horizontalCentered="1"/>
  <pageMargins left="0.53" right="0.5118110236220472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9"/>
  <sheetViews>
    <sheetView topLeftCell="A16" workbookViewId="0">
      <selection activeCell="M15" sqref="M15"/>
    </sheetView>
  </sheetViews>
  <sheetFormatPr defaultRowHeight="21"/>
  <cols>
    <col min="1" max="1" width="28.140625" style="179" customWidth="1"/>
    <col min="2" max="7" width="10.85546875" style="112" customWidth="1"/>
    <col min="8" max="8" width="10.7109375" customWidth="1"/>
  </cols>
  <sheetData>
    <row r="1" spans="1:10">
      <c r="A1" s="171"/>
      <c r="B1" s="206"/>
      <c r="C1" s="206"/>
      <c r="D1" s="206"/>
      <c r="E1" s="206"/>
      <c r="F1" s="206"/>
      <c r="G1" s="206"/>
    </row>
    <row r="2" spans="1:10" ht="23.25">
      <c r="A2" s="903" t="s">
        <v>234</v>
      </c>
      <c r="B2" s="904"/>
      <c r="C2" s="904"/>
      <c r="D2" s="904"/>
      <c r="E2" s="904"/>
      <c r="F2" s="904"/>
      <c r="G2" s="905"/>
    </row>
    <row r="3" spans="1:10">
      <c r="A3" s="171"/>
      <c r="B3" s="206"/>
      <c r="C3" s="206"/>
      <c r="D3" s="206"/>
      <c r="E3" s="206"/>
      <c r="F3" s="206"/>
      <c r="G3" s="206"/>
    </row>
    <row r="4" spans="1:10">
      <c r="A4" s="790" t="s">
        <v>201</v>
      </c>
      <c r="B4" s="792" t="s">
        <v>202</v>
      </c>
      <c r="C4" s="792"/>
      <c r="D4" s="792"/>
      <c r="E4" s="792"/>
      <c r="F4" s="792"/>
      <c r="G4" s="785" t="s">
        <v>3</v>
      </c>
    </row>
    <row r="5" spans="1:10">
      <c r="A5" s="914"/>
      <c r="B5" s="172" t="s">
        <v>203</v>
      </c>
      <c r="C5" s="207" t="s">
        <v>204</v>
      </c>
      <c r="D5" s="207" t="s">
        <v>205</v>
      </c>
      <c r="E5" s="207" t="s">
        <v>51</v>
      </c>
      <c r="F5" s="207" t="s">
        <v>134</v>
      </c>
      <c r="G5" s="786"/>
    </row>
    <row r="6" spans="1:10">
      <c r="A6" s="193" t="s">
        <v>200</v>
      </c>
      <c r="B6" s="220">
        <v>329</v>
      </c>
      <c r="C6" s="194"/>
      <c r="D6" s="220">
        <f>1+7+4+36+85+285+447</f>
        <v>865</v>
      </c>
      <c r="E6" s="220">
        <v>546</v>
      </c>
      <c r="F6" s="194">
        <v>177</v>
      </c>
      <c r="G6" s="194">
        <f t="shared" ref="G6:G14" si="0">SUM(B6:F6)</f>
        <v>1917</v>
      </c>
      <c r="I6">
        <v>196</v>
      </c>
      <c r="J6">
        <f>92-5</f>
        <v>87</v>
      </c>
    </row>
    <row r="7" spans="1:10">
      <c r="A7" s="193" t="s">
        <v>206</v>
      </c>
      <c r="B7" s="194"/>
      <c r="C7" s="220">
        <v>619</v>
      </c>
      <c r="D7" s="194"/>
      <c r="E7" s="220">
        <v>40</v>
      </c>
      <c r="F7" s="194"/>
      <c r="G7" s="194">
        <f t="shared" si="0"/>
        <v>659</v>
      </c>
      <c r="I7">
        <v>220</v>
      </c>
      <c r="J7">
        <f>59-(19+5)</f>
        <v>35</v>
      </c>
    </row>
    <row r="8" spans="1:10">
      <c r="A8" s="193" t="s">
        <v>197</v>
      </c>
      <c r="B8" s="194">
        <v>4</v>
      </c>
      <c r="C8" s="194">
        <v>1330</v>
      </c>
      <c r="D8" s="194"/>
      <c r="E8" s="220">
        <v>91</v>
      </c>
      <c r="F8" s="194">
        <v>20</v>
      </c>
      <c r="G8" s="194">
        <f t="shared" si="0"/>
        <v>1445</v>
      </c>
      <c r="I8">
        <v>85</v>
      </c>
      <c r="J8">
        <f>62-7</f>
        <v>55</v>
      </c>
    </row>
    <row r="9" spans="1:10">
      <c r="A9" s="192" t="s">
        <v>3</v>
      </c>
      <c r="B9" s="192">
        <f>SUM(B6:B8)</f>
        <v>333</v>
      </c>
      <c r="C9" s="192">
        <f>SUM(C6:C8)</f>
        <v>1949</v>
      </c>
      <c r="D9" s="192">
        <f>SUM(D6:D8)</f>
        <v>865</v>
      </c>
      <c r="E9" s="192">
        <f>SUM(E6:E8)</f>
        <v>677</v>
      </c>
      <c r="F9" s="192">
        <f>SUM(F6:F8)</f>
        <v>197</v>
      </c>
      <c r="G9" s="192">
        <f t="shared" si="0"/>
        <v>4021</v>
      </c>
      <c r="I9">
        <v>45</v>
      </c>
    </row>
    <row r="10" spans="1:10">
      <c r="A10" s="193" t="s">
        <v>199</v>
      </c>
      <c r="B10" s="194"/>
      <c r="C10" s="220">
        <f>1+23+31</f>
        <v>55</v>
      </c>
      <c r="D10" s="194"/>
      <c r="E10" s="194">
        <f>9+2+2+6+1+1+20+25</f>
        <v>66</v>
      </c>
      <c r="F10" s="194">
        <v>1</v>
      </c>
      <c r="G10" s="194">
        <f t="shared" si="0"/>
        <v>122</v>
      </c>
      <c r="I10">
        <f>SUM(I6:I9)</f>
        <v>546</v>
      </c>
      <c r="J10">
        <f>SUM(J6:J9)</f>
        <v>177</v>
      </c>
    </row>
    <row r="11" spans="1:10">
      <c r="A11" s="193" t="s">
        <v>17</v>
      </c>
      <c r="B11" s="194"/>
      <c r="C11" s="194">
        <v>12</v>
      </c>
      <c r="D11" s="194"/>
      <c r="E11" s="194"/>
      <c r="F11" s="194"/>
      <c r="G11" s="194">
        <f t="shared" si="0"/>
        <v>12</v>
      </c>
    </row>
    <row r="12" spans="1:10">
      <c r="A12" s="193" t="s">
        <v>198</v>
      </c>
      <c r="B12" s="194">
        <f>37+13+23+37+37+18+46</f>
        <v>211</v>
      </c>
      <c r="C12" s="194">
        <f>340-B12</f>
        <v>129</v>
      </c>
      <c r="D12" s="194"/>
      <c r="E12" s="194">
        <f>5+10+7</f>
        <v>22</v>
      </c>
      <c r="F12" s="194"/>
      <c r="G12" s="194">
        <f t="shared" si="0"/>
        <v>362</v>
      </c>
    </row>
    <row r="13" spans="1:10">
      <c r="A13" s="191" t="s">
        <v>3</v>
      </c>
      <c r="B13" s="192">
        <f>SUM(B10:B12)</f>
        <v>211</v>
      </c>
      <c r="C13" s="192">
        <f t="shared" ref="C13:F13" si="1">SUM(C10:C12)</f>
        <v>196</v>
      </c>
      <c r="D13" s="192">
        <f t="shared" si="1"/>
        <v>0</v>
      </c>
      <c r="E13" s="192">
        <f t="shared" si="1"/>
        <v>88</v>
      </c>
      <c r="F13" s="192">
        <f t="shared" si="1"/>
        <v>1</v>
      </c>
      <c r="G13" s="194">
        <f t="shared" si="0"/>
        <v>496</v>
      </c>
    </row>
    <row r="14" spans="1:10">
      <c r="A14" s="191" t="s">
        <v>59</v>
      </c>
      <c r="B14" s="192">
        <f>SUM(B9,B13)</f>
        <v>544</v>
      </c>
      <c r="C14" s="192">
        <f>SUM(C9,C13)</f>
        <v>2145</v>
      </c>
      <c r="D14" s="192">
        <f>SUM(D9,D13)</f>
        <v>865</v>
      </c>
      <c r="E14" s="192">
        <f>SUM(E9,E13)</f>
        <v>765</v>
      </c>
      <c r="F14" s="192">
        <f>SUM(F9,F13)</f>
        <v>198</v>
      </c>
      <c r="G14" s="192">
        <f t="shared" si="0"/>
        <v>4517</v>
      </c>
    </row>
    <row r="15" spans="1:10">
      <c r="A15" s="214"/>
      <c r="B15" s="213"/>
      <c r="C15" s="213"/>
      <c r="D15" s="213"/>
      <c r="E15" s="213"/>
      <c r="F15" s="213"/>
      <c r="G15" s="213"/>
      <c r="H15" s="168"/>
    </row>
    <row r="16" spans="1:10">
      <c r="A16" s="214" t="s">
        <v>236</v>
      </c>
      <c r="B16" s="213"/>
      <c r="C16" s="213"/>
      <c r="D16" s="213"/>
      <c r="E16" s="213">
        <f>E14</f>
        <v>765</v>
      </c>
      <c r="F16" s="213">
        <f>F14</f>
        <v>198</v>
      </c>
      <c r="G16" s="213">
        <f>B6</f>
        <v>329</v>
      </c>
      <c r="H16" s="168">
        <f>SUM(E16:G16)</f>
        <v>1292</v>
      </c>
    </row>
    <row r="17" spans="1:9">
      <c r="A17" s="214"/>
      <c r="B17" s="213"/>
      <c r="C17" s="213"/>
      <c r="D17" s="213"/>
      <c r="E17" s="213"/>
      <c r="F17" s="213"/>
      <c r="G17" s="213"/>
    </row>
    <row r="18" spans="1:9">
      <c r="A18" s="189"/>
      <c r="B18" s="190"/>
      <c r="C18" s="190"/>
      <c r="D18" s="190"/>
      <c r="E18" s="190"/>
      <c r="F18" s="190"/>
      <c r="G18" s="190"/>
    </row>
    <row r="19" spans="1:9">
      <c r="A19" s="915" t="s">
        <v>235</v>
      </c>
      <c r="B19" s="915"/>
      <c r="C19" s="915"/>
      <c r="D19" s="915"/>
      <c r="E19" s="915"/>
      <c r="F19" s="915"/>
      <c r="G19" s="915"/>
    </row>
    <row r="20" spans="1:9">
      <c r="A20" s="790" t="s">
        <v>201</v>
      </c>
      <c r="B20" s="857" t="s">
        <v>202</v>
      </c>
      <c r="C20" s="857"/>
      <c r="D20" s="857"/>
      <c r="E20" s="857"/>
      <c r="F20" s="857"/>
      <c r="G20" s="785" t="s">
        <v>3</v>
      </c>
    </row>
    <row r="21" spans="1:9">
      <c r="A21" s="914"/>
      <c r="B21" s="195" t="s">
        <v>203</v>
      </c>
      <c r="C21" s="203" t="s">
        <v>204</v>
      </c>
      <c r="D21" s="203" t="s">
        <v>205</v>
      </c>
      <c r="E21" s="203" t="s">
        <v>51</v>
      </c>
      <c r="F21" s="203" t="s">
        <v>134</v>
      </c>
      <c r="G21" s="786"/>
    </row>
    <row r="22" spans="1:9">
      <c r="A22" s="193" t="s">
        <v>200</v>
      </c>
      <c r="B22" s="194"/>
      <c r="C22" s="194"/>
      <c r="D22" s="194"/>
      <c r="E22" s="220">
        <v>45</v>
      </c>
      <c r="F22" s="194">
        <v>29</v>
      </c>
      <c r="G22" s="194">
        <f t="shared" ref="G22:G28" si="2">SUM(B22:F22)</f>
        <v>74</v>
      </c>
      <c r="I22">
        <v>14</v>
      </c>
    </row>
    <row r="23" spans="1:9">
      <c r="A23" s="173" t="s">
        <v>206</v>
      </c>
      <c r="B23" s="174"/>
      <c r="C23" s="220">
        <v>232</v>
      </c>
      <c r="D23" s="174"/>
      <c r="E23" s="174"/>
      <c r="F23" s="174"/>
      <c r="G23" s="174">
        <f t="shared" si="2"/>
        <v>232</v>
      </c>
      <c r="I23">
        <v>15</v>
      </c>
    </row>
    <row r="24" spans="1:9">
      <c r="A24" s="173" t="s">
        <v>197</v>
      </c>
      <c r="B24" s="174"/>
      <c r="C24" s="221">
        <v>389</v>
      </c>
      <c r="D24" s="174"/>
      <c r="E24" s="174"/>
      <c r="F24" s="221">
        <v>12</v>
      </c>
      <c r="G24" s="174">
        <f t="shared" si="2"/>
        <v>401</v>
      </c>
      <c r="I24">
        <f>SUM(I22:I23)</f>
        <v>29</v>
      </c>
    </row>
    <row r="25" spans="1:9">
      <c r="A25" s="106" t="s">
        <v>232</v>
      </c>
      <c r="B25" s="106">
        <f>SUM(B22:B24)</f>
        <v>0</v>
      </c>
      <c r="C25" s="106">
        <f>SUM(C22:C24)</f>
        <v>621</v>
      </c>
      <c r="D25" s="106">
        <f>SUM(D22:D24)</f>
        <v>0</v>
      </c>
      <c r="E25" s="106">
        <f>SUM(E22:E24)</f>
        <v>45</v>
      </c>
      <c r="F25" s="106">
        <f>SUM(F22:F24)</f>
        <v>41</v>
      </c>
      <c r="G25" s="106">
        <f t="shared" si="2"/>
        <v>707</v>
      </c>
    </row>
    <row r="26" spans="1:9">
      <c r="A26" s="173" t="s">
        <v>199</v>
      </c>
      <c r="B26" s="174"/>
      <c r="C26" s="221">
        <v>31</v>
      </c>
      <c r="D26" s="174"/>
      <c r="E26" s="221">
        <v>26</v>
      </c>
      <c r="F26" s="174"/>
      <c r="G26" s="174">
        <f t="shared" si="2"/>
        <v>57</v>
      </c>
    </row>
    <row r="27" spans="1:9">
      <c r="A27" s="173" t="s">
        <v>17</v>
      </c>
      <c r="B27" s="174"/>
      <c r="C27" s="174"/>
      <c r="D27" s="174"/>
      <c r="E27" s="174"/>
      <c r="F27" s="174"/>
      <c r="G27" s="174">
        <f t="shared" si="2"/>
        <v>0</v>
      </c>
    </row>
    <row r="28" spans="1:9">
      <c r="A28" s="173" t="s">
        <v>198</v>
      </c>
      <c r="B28" s="221">
        <f>128-27</f>
        <v>101</v>
      </c>
      <c r="C28" s="221">
        <v>27</v>
      </c>
      <c r="D28" s="174"/>
      <c r="E28" s="174"/>
      <c r="F28" s="174"/>
      <c r="G28" s="174">
        <f t="shared" si="2"/>
        <v>128</v>
      </c>
    </row>
    <row r="29" spans="1:9">
      <c r="A29" s="182" t="s">
        <v>233</v>
      </c>
      <c r="B29" s="106">
        <f t="shared" ref="B29:G29" si="3">SUM(B26:B28)</f>
        <v>101</v>
      </c>
      <c r="C29" s="106">
        <f t="shared" si="3"/>
        <v>58</v>
      </c>
      <c r="D29" s="106">
        <f t="shared" si="3"/>
        <v>0</v>
      </c>
      <c r="E29" s="106">
        <f t="shared" si="3"/>
        <v>26</v>
      </c>
      <c r="F29" s="106">
        <f t="shared" si="3"/>
        <v>0</v>
      </c>
      <c r="G29" s="106">
        <f t="shared" si="3"/>
        <v>185</v>
      </c>
    </row>
    <row r="30" spans="1:9">
      <c r="A30" s="191" t="s">
        <v>59</v>
      </c>
      <c r="B30" s="192">
        <f t="shared" ref="B30:G30" si="4">SUM(B25,B29)</f>
        <v>101</v>
      </c>
      <c r="C30" s="192">
        <f t="shared" si="4"/>
        <v>679</v>
      </c>
      <c r="D30" s="192">
        <f t="shared" si="4"/>
        <v>0</v>
      </c>
      <c r="E30" s="192">
        <f t="shared" si="4"/>
        <v>71</v>
      </c>
      <c r="F30" s="192">
        <f t="shared" si="4"/>
        <v>41</v>
      </c>
      <c r="G30" s="192">
        <f t="shared" si="4"/>
        <v>892</v>
      </c>
    </row>
    <row r="31" spans="1:9">
      <c r="A31" s="189"/>
      <c r="B31" s="190"/>
      <c r="C31" s="190"/>
      <c r="D31" s="190"/>
      <c r="E31" s="190"/>
      <c r="F31" s="190"/>
      <c r="G31" s="190"/>
    </row>
    <row r="32" spans="1:9">
      <c r="A32" s="189" t="s">
        <v>224</v>
      </c>
      <c r="B32" s="190"/>
      <c r="C32" s="190"/>
      <c r="D32" s="190"/>
      <c r="E32" s="190"/>
      <c r="F32" s="190">
        <f>E30+F30</f>
        <v>112</v>
      </c>
      <c r="G32" s="190"/>
    </row>
    <row r="33" spans="1:7">
      <c r="A33" s="177"/>
      <c r="B33" s="161"/>
      <c r="C33" s="161"/>
      <c r="D33" s="161"/>
      <c r="E33" s="161"/>
      <c r="F33" s="161"/>
      <c r="G33" s="161"/>
    </row>
    <row r="34" spans="1:7">
      <c r="A34" s="188"/>
      <c r="B34" s="187"/>
      <c r="C34" s="187"/>
      <c r="D34" s="187"/>
      <c r="E34" s="187"/>
      <c r="F34" s="187"/>
      <c r="G34" s="187"/>
    </row>
    <row r="35" spans="1:7">
      <c r="A35" s="188"/>
      <c r="B35" s="187"/>
      <c r="C35" s="187"/>
      <c r="D35" s="187"/>
      <c r="E35" s="187"/>
      <c r="F35" s="187"/>
      <c r="G35" s="187"/>
    </row>
    <row r="36" spans="1:7">
      <c r="A36" s="177"/>
      <c r="B36" s="161"/>
      <c r="C36" s="161"/>
      <c r="D36" s="161"/>
      <c r="E36" s="161"/>
      <c r="F36" s="161"/>
      <c r="G36" s="161"/>
    </row>
    <row r="37" spans="1:7">
      <c r="A37" s="188"/>
      <c r="B37" s="187"/>
      <c r="C37" s="187"/>
      <c r="D37" s="187"/>
      <c r="E37" s="187"/>
      <c r="F37" s="187"/>
      <c r="G37" s="187"/>
    </row>
    <row r="38" spans="1:7">
      <c r="A38" s="188"/>
      <c r="B38" s="187"/>
      <c r="C38" s="187"/>
      <c r="D38" s="187"/>
      <c r="E38" s="187"/>
      <c r="F38" s="187"/>
      <c r="G38" s="187"/>
    </row>
    <row r="39" spans="1:7">
      <c r="A39" s="188"/>
      <c r="B39" s="187"/>
      <c r="C39" s="187"/>
      <c r="D39" s="187"/>
      <c r="E39" s="187"/>
      <c r="F39" s="187"/>
      <c r="G39" s="187"/>
    </row>
    <row r="40" spans="1:7">
      <c r="A40" s="188"/>
      <c r="B40" s="187"/>
      <c r="C40" s="187"/>
      <c r="D40" s="187"/>
      <c r="E40" s="187"/>
      <c r="F40" s="187"/>
      <c r="G40" s="187"/>
    </row>
    <row r="41" spans="1:7">
      <c r="A41" s="176"/>
      <c r="B41" s="160"/>
      <c r="C41" s="160"/>
      <c r="D41" s="160"/>
      <c r="E41" s="160"/>
      <c r="F41" s="160"/>
      <c r="G41" s="160"/>
    </row>
    <row r="42" spans="1:7">
      <c r="A42" s="175"/>
      <c r="B42" s="159"/>
      <c r="C42" s="159"/>
      <c r="D42" s="159"/>
      <c r="E42" s="159"/>
      <c r="F42" s="159"/>
      <c r="G42" s="159"/>
    </row>
    <row r="43" spans="1:7">
      <c r="A43" s="175"/>
      <c r="B43" s="159"/>
      <c r="C43" s="159"/>
      <c r="D43" s="159"/>
      <c r="E43" s="159"/>
      <c r="F43" s="159"/>
      <c r="G43" s="159"/>
    </row>
    <row r="44" spans="1:7">
      <c r="A44" s="183"/>
      <c r="B44" s="184"/>
      <c r="C44" s="184"/>
      <c r="D44" s="184"/>
      <c r="E44" s="184"/>
      <c r="F44" s="184"/>
      <c r="G44" s="184"/>
    </row>
    <row r="45" spans="1:7">
      <c r="A45" s="183"/>
      <c r="B45" s="184"/>
      <c r="C45" s="184"/>
      <c r="D45" s="184"/>
      <c r="E45" s="184"/>
      <c r="F45" s="184"/>
      <c r="G45" s="184"/>
    </row>
    <row r="46" spans="1:7">
      <c r="A46" s="176"/>
      <c r="B46" s="160"/>
      <c r="C46" s="160"/>
      <c r="D46" s="160"/>
      <c r="E46" s="160"/>
      <c r="F46" s="160"/>
      <c r="G46" s="160"/>
    </row>
    <row r="47" spans="1:7">
      <c r="A47" s="175"/>
      <c r="B47" s="159"/>
      <c r="C47" s="159"/>
      <c r="D47" s="159"/>
      <c r="E47" s="159"/>
      <c r="F47" s="159"/>
      <c r="G47" s="159"/>
    </row>
    <row r="48" spans="1:7">
      <c r="A48" s="175"/>
      <c r="B48" s="159"/>
      <c r="C48" s="159"/>
      <c r="D48" s="159"/>
      <c r="E48" s="159"/>
      <c r="F48" s="159"/>
      <c r="G48" s="159"/>
    </row>
    <row r="49" spans="1:7">
      <c r="A49" s="176"/>
      <c r="B49" s="160"/>
      <c r="C49" s="160"/>
      <c r="D49" s="160"/>
      <c r="E49" s="160"/>
      <c r="F49" s="160"/>
      <c r="G49" s="160"/>
    </row>
    <row r="50" spans="1:7">
      <c r="A50" s="178"/>
      <c r="B50" s="162"/>
      <c r="C50" s="162"/>
      <c r="D50" s="162"/>
      <c r="E50" s="162"/>
      <c r="F50" s="162"/>
      <c r="G50" s="162"/>
    </row>
    <row r="51" spans="1:7">
      <c r="A51" s="188"/>
      <c r="B51" s="187"/>
      <c r="C51" s="187"/>
      <c r="D51" s="187"/>
      <c r="E51" s="187"/>
      <c r="F51" s="187"/>
      <c r="G51" s="187"/>
    </row>
    <row r="52" spans="1:7">
      <c r="A52" s="188"/>
      <c r="B52" s="187"/>
      <c r="C52" s="187"/>
      <c r="D52" s="187"/>
      <c r="E52" s="187"/>
      <c r="F52" s="187"/>
      <c r="G52" s="187"/>
    </row>
    <row r="53" spans="1:7">
      <c r="A53" s="188"/>
      <c r="B53" s="187"/>
      <c r="C53" s="187"/>
      <c r="D53" s="187"/>
      <c r="E53" s="187"/>
      <c r="F53" s="187"/>
      <c r="G53" s="187"/>
    </row>
    <row r="54" spans="1:7">
      <c r="A54" s="188"/>
      <c r="B54" s="187"/>
      <c r="C54" s="187"/>
      <c r="D54" s="187"/>
      <c r="E54" s="187"/>
      <c r="F54" s="187"/>
      <c r="G54" s="187"/>
    </row>
    <row r="55" spans="1:7">
      <c r="A55" s="188"/>
      <c r="B55" s="187"/>
      <c r="C55" s="187"/>
      <c r="D55" s="187"/>
      <c r="E55" s="187"/>
      <c r="F55" s="187"/>
      <c r="G55" s="187"/>
    </row>
    <row r="56" spans="1:7">
      <c r="A56" s="188"/>
      <c r="B56" s="187"/>
      <c r="C56" s="187"/>
      <c r="D56" s="187"/>
      <c r="E56" s="187"/>
      <c r="F56" s="187"/>
      <c r="G56" s="187"/>
    </row>
    <row r="57" spans="1:7">
      <c r="A57" s="188"/>
      <c r="B57" s="187"/>
      <c r="C57" s="187"/>
      <c r="D57" s="187"/>
      <c r="E57" s="187"/>
      <c r="F57" s="187"/>
      <c r="G57" s="187"/>
    </row>
    <row r="58" spans="1:7">
      <c r="A58" s="188"/>
      <c r="B58" s="187"/>
      <c r="C58" s="187"/>
      <c r="D58" s="187"/>
      <c r="E58" s="187"/>
      <c r="F58" s="187"/>
      <c r="G58" s="187"/>
    </row>
    <row r="59" spans="1:7">
      <c r="A59" s="188"/>
      <c r="B59" s="187"/>
      <c r="C59" s="187"/>
      <c r="D59" s="187"/>
      <c r="E59" s="187"/>
      <c r="F59" s="187"/>
      <c r="G59" s="187"/>
    </row>
    <row r="60" spans="1:7">
      <c r="A60" s="178"/>
      <c r="B60" s="162"/>
      <c r="C60" s="162"/>
      <c r="D60" s="162"/>
      <c r="E60" s="162"/>
      <c r="F60" s="162"/>
      <c r="G60" s="162"/>
    </row>
    <row r="61" spans="1:7">
      <c r="A61" s="188"/>
      <c r="B61" s="187"/>
      <c r="C61" s="187"/>
      <c r="D61" s="187"/>
      <c r="E61" s="187"/>
      <c r="F61" s="187"/>
      <c r="G61" s="187"/>
    </row>
    <row r="62" spans="1:7">
      <c r="A62" s="188"/>
      <c r="B62" s="187"/>
      <c r="C62" s="187"/>
      <c r="D62" s="187"/>
      <c r="E62" s="187"/>
      <c r="F62" s="187"/>
      <c r="G62" s="187"/>
    </row>
    <row r="63" spans="1:7">
      <c r="A63" s="188"/>
      <c r="B63" s="187"/>
      <c r="C63" s="187"/>
      <c r="D63" s="187"/>
      <c r="E63" s="187"/>
      <c r="F63" s="187"/>
      <c r="G63" s="187"/>
    </row>
    <row r="64" spans="1:7">
      <c r="A64" s="188"/>
      <c r="B64" s="187"/>
      <c r="C64" s="187"/>
      <c r="D64" s="187"/>
      <c r="E64" s="187"/>
      <c r="F64" s="187"/>
      <c r="G64" s="187"/>
    </row>
    <row r="65" spans="1:7">
      <c r="A65" s="177"/>
      <c r="B65" s="161"/>
      <c r="C65" s="161"/>
      <c r="D65" s="161"/>
      <c r="E65" s="161"/>
      <c r="F65" s="161"/>
      <c r="G65" s="161"/>
    </row>
    <row r="66" spans="1:7">
      <c r="A66" s="188"/>
      <c r="B66" s="187"/>
      <c r="C66" s="187"/>
      <c r="D66" s="187"/>
      <c r="E66" s="187"/>
      <c r="F66" s="187"/>
      <c r="G66" s="187"/>
    </row>
    <row r="67" spans="1:7">
      <c r="A67" s="188"/>
      <c r="B67" s="187"/>
      <c r="C67" s="187"/>
      <c r="D67" s="187"/>
      <c r="E67" s="187"/>
      <c r="F67" s="187"/>
      <c r="G67" s="187"/>
    </row>
    <row r="68" spans="1:7">
      <c r="A68" s="177"/>
      <c r="B68" s="161"/>
      <c r="C68" s="161"/>
      <c r="D68" s="161"/>
      <c r="E68" s="161"/>
      <c r="F68" s="161"/>
      <c r="G68" s="161"/>
    </row>
    <row r="69" spans="1:7">
      <c r="A69" s="176"/>
      <c r="B69" s="160"/>
      <c r="C69" s="160"/>
      <c r="D69" s="160"/>
      <c r="E69" s="160"/>
      <c r="F69" s="160"/>
      <c r="G69" s="160"/>
    </row>
    <row r="70" spans="1:7">
      <c r="A70" s="177"/>
      <c r="B70" s="161"/>
      <c r="C70" s="161"/>
      <c r="D70" s="161"/>
      <c r="E70" s="161"/>
      <c r="F70" s="161"/>
      <c r="G70" s="161"/>
    </row>
    <row r="71" spans="1:7">
      <c r="A71" s="177"/>
      <c r="B71" s="161"/>
      <c r="C71" s="161"/>
      <c r="D71" s="161"/>
      <c r="E71" s="161"/>
      <c r="F71" s="161"/>
      <c r="G71" s="161"/>
    </row>
    <row r="72" spans="1:7">
      <c r="A72" s="177"/>
      <c r="B72" s="161"/>
      <c r="C72" s="161"/>
      <c r="D72" s="161"/>
      <c r="E72" s="161"/>
      <c r="F72" s="161"/>
      <c r="G72" s="161"/>
    </row>
    <row r="73" spans="1:7">
      <c r="A73" s="176"/>
      <c r="B73" s="160"/>
      <c r="C73" s="160"/>
      <c r="D73" s="160"/>
      <c r="E73" s="160"/>
      <c r="F73" s="160"/>
      <c r="G73" s="160"/>
    </row>
    <row r="74" spans="1:7">
      <c r="A74" s="178"/>
      <c r="B74" s="162"/>
      <c r="C74" s="162"/>
      <c r="D74" s="162"/>
      <c r="E74" s="162"/>
      <c r="F74" s="162"/>
      <c r="G74" s="162"/>
    </row>
    <row r="75" spans="1:7">
      <c r="A75" s="188"/>
      <c r="B75" s="187"/>
      <c r="C75" s="187"/>
      <c r="D75" s="187"/>
      <c r="E75" s="187"/>
      <c r="F75" s="187"/>
      <c r="G75" s="187"/>
    </row>
    <row r="76" spans="1:7">
      <c r="A76" s="177"/>
      <c r="B76" s="161"/>
      <c r="C76" s="161"/>
      <c r="D76" s="161"/>
      <c r="E76" s="161"/>
      <c r="F76" s="161"/>
      <c r="G76" s="161"/>
    </row>
    <row r="77" spans="1:7">
      <c r="A77" s="177"/>
      <c r="B77" s="161"/>
      <c r="C77" s="161"/>
      <c r="D77" s="161"/>
      <c r="E77" s="161"/>
      <c r="F77" s="161"/>
      <c r="G77" s="161"/>
    </row>
    <row r="78" spans="1:7">
      <c r="A78" s="177"/>
      <c r="B78" s="161"/>
      <c r="C78" s="161"/>
      <c r="D78" s="161"/>
      <c r="E78" s="161"/>
      <c r="F78" s="161"/>
      <c r="G78" s="161"/>
    </row>
    <row r="79" spans="1:7">
      <c r="A79" s="177"/>
      <c r="B79" s="161"/>
      <c r="C79" s="161"/>
      <c r="D79" s="161"/>
      <c r="E79" s="161"/>
      <c r="F79" s="161"/>
      <c r="G79" s="161"/>
    </row>
    <row r="80" spans="1:7">
      <c r="A80" s="177"/>
      <c r="B80" s="161"/>
      <c r="C80" s="161"/>
      <c r="D80" s="161"/>
      <c r="E80" s="161"/>
      <c r="F80" s="161"/>
      <c r="G80" s="161"/>
    </row>
    <row r="81" spans="1:7">
      <c r="A81" s="177"/>
      <c r="B81" s="161"/>
      <c r="C81" s="161"/>
      <c r="D81" s="161"/>
      <c r="E81" s="161"/>
      <c r="F81" s="161"/>
      <c r="G81" s="161"/>
    </row>
    <row r="82" spans="1:7">
      <c r="A82" s="177"/>
      <c r="B82" s="161"/>
      <c r="C82" s="161"/>
      <c r="D82" s="161"/>
      <c r="E82" s="161"/>
      <c r="F82" s="161"/>
      <c r="G82" s="161"/>
    </row>
    <row r="83" spans="1:7">
      <c r="A83" s="188"/>
      <c r="B83" s="187"/>
      <c r="C83" s="187"/>
      <c r="D83" s="187"/>
      <c r="E83" s="187"/>
      <c r="F83" s="187"/>
      <c r="G83" s="187"/>
    </row>
    <row r="84" spans="1:7">
      <c r="A84" s="188"/>
      <c r="B84" s="187"/>
      <c r="C84" s="187"/>
      <c r="D84" s="187"/>
      <c r="E84" s="187"/>
      <c r="F84" s="187"/>
      <c r="G84" s="187"/>
    </row>
    <row r="85" spans="1:7">
      <c r="A85" s="177"/>
      <c r="B85" s="161"/>
      <c r="C85" s="161"/>
      <c r="D85" s="161"/>
      <c r="E85" s="161"/>
      <c r="F85" s="161"/>
      <c r="G85" s="161"/>
    </row>
    <row r="86" spans="1:7">
      <c r="A86" s="177"/>
      <c r="B86" s="161"/>
      <c r="C86" s="161"/>
      <c r="D86" s="161"/>
      <c r="E86" s="161"/>
      <c r="F86" s="161"/>
      <c r="G86" s="161"/>
    </row>
    <row r="87" spans="1:7">
      <c r="A87" s="188"/>
      <c r="B87" s="187"/>
      <c r="C87" s="187"/>
      <c r="D87" s="187"/>
      <c r="E87" s="187"/>
      <c r="F87" s="187"/>
      <c r="G87" s="187"/>
    </row>
    <row r="88" spans="1:7">
      <c r="A88" s="177"/>
      <c r="B88" s="161"/>
      <c r="C88" s="161"/>
      <c r="D88" s="161"/>
      <c r="E88" s="161"/>
      <c r="F88" s="161"/>
      <c r="G88" s="161"/>
    </row>
    <row r="89" spans="1:7">
      <c r="A89" s="177"/>
      <c r="B89" s="161"/>
      <c r="C89" s="161"/>
      <c r="D89" s="161"/>
      <c r="E89" s="161"/>
      <c r="F89" s="161"/>
      <c r="G89" s="161"/>
    </row>
    <row r="90" spans="1:7">
      <c r="A90" s="176"/>
      <c r="B90" s="160"/>
      <c r="C90" s="160"/>
      <c r="D90" s="160"/>
      <c r="E90" s="160"/>
      <c r="F90" s="160"/>
      <c r="G90" s="160"/>
    </row>
    <row r="91" spans="1:7">
      <c r="A91" s="178"/>
      <c r="B91" s="162"/>
      <c r="C91" s="162"/>
      <c r="D91" s="162"/>
      <c r="E91" s="162"/>
      <c r="F91" s="162"/>
      <c r="G91" s="162"/>
    </row>
    <row r="92" spans="1:7">
      <c r="A92" s="188"/>
      <c r="B92" s="187"/>
      <c r="C92" s="187"/>
      <c r="D92" s="187"/>
      <c r="E92" s="187"/>
      <c r="F92" s="187"/>
      <c r="G92" s="187"/>
    </row>
    <row r="93" spans="1:7">
      <c r="A93" s="188"/>
      <c r="B93" s="187"/>
      <c r="C93" s="187"/>
      <c r="D93" s="187"/>
      <c r="E93" s="187"/>
      <c r="F93" s="187"/>
      <c r="G93" s="187"/>
    </row>
    <row r="94" spans="1:7">
      <c r="A94" s="188"/>
      <c r="B94" s="187"/>
      <c r="C94" s="187"/>
      <c r="D94" s="187"/>
      <c r="E94" s="187"/>
      <c r="F94" s="187"/>
      <c r="G94" s="187"/>
    </row>
    <row r="95" spans="1:7">
      <c r="A95" s="188"/>
      <c r="B95" s="187"/>
      <c r="C95" s="187"/>
      <c r="D95" s="187"/>
      <c r="E95" s="187"/>
      <c r="F95" s="187"/>
      <c r="G95" s="187"/>
    </row>
    <row r="96" spans="1:7">
      <c r="A96" s="188"/>
      <c r="B96" s="187"/>
      <c r="C96" s="187"/>
      <c r="D96" s="187"/>
      <c r="E96" s="187"/>
      <c r="F96" s="187"/>
      <c r="G96" s="187"/>
    </row>
    <row r="97" spans="1:7">
      <c r="A97" s="188"/>
      <c r="B97" s="187"/>
      <c r="C97" s="187"/>
      <c r="D97" s="187"/>
      <c r="E97" s="187"/>
      <c r="F97" s="187"/>
      <c r="G97" s="187"/>
    </row>
    <row r="98" spans="1:7">
      <c r="A98" s="188"/>
      <c r="B98" s="187"/>
      <c r="C98" s="187"/>
      <c r="D98" s="187"/>
      <c r="E98" s="187"/>
      <c r="F98" s="187"/>
      <c r="G98" s="187"/>
    </row>
    <row r="99" spans="1:7">
      <c r="A99" s="188"/>
      <c r="B99" s="187"/>
      <c r="C99" s="187"/>
      <c r="D99" s="187"/>
      <c r="E99" s="187"/>
      <c r="F99" s="187"/>
      <c r="G99" s="187"/>
    </row>
    <row r="100" spans="1:7">
      <c r="A100" s="188"/>
      <c r="B100" s="187"/>
      <c r="C100" s="187"/>
      <c r="D100" s="187"/>
      <c r="E100" s="187"/>
      <c r="F100" s="187"/>
      <c r="G100" s="187"/>
    </row>
    <row r="101" spans="1:7">
      <c r="A101" s="188"/>
      <c r="B101" s="187"/>
      <c r="C101" s="187"/>
      <c r="D101" s="187"/>
      <c r="E101" s="187"/>
      <c r="F101" s="187"/>
      <c r="G101" s="187"/>
    </row>
    <row r="102" spans="1:7">
      <c r="A102" s="177"/>
      <c r="B102" s="161"/>
      <c r="C102" s="161"/>
      <c r="D102" s="161"/>
      <c r="E102" s="161"/>
      <c r="F102" s="161"/>
      <c r="G102" s="161"/>
    </row>
    <row r="103" spans="1:7">
      <c r="A103" s="188"/>
      <c r="B103" s="187"/>
      <c r="C103" s="187"/>
      <c r="D103" s="187"/>
      <c r="E103" s="187"/>
      <c r="F103" s="187"/>
      <c r="G103" s="187"/>
    </row>
    <row r="104" spans="1:7">
      <c r="A104" s="188"/>
      <c r="B104" s="187"/>
      <c r="C104" s="187"/>
      <c r="D104" s="187"/>
      <c r="E104" s="187"/>
      <c r="F104" s="187"/>
      <c r="G104" s="187"/>
    </row>
    <row r="105" spans="1:7">
      <c r="A105" s="176"/>
      <c r="B105" s="160"/>
      <c r="C105" s="160"/>
      <c r="D105" s="160"/>
      <c r="E105" s="160"/>
      <c r="F105" s="160"/>
      <c r="G105" s="160"/>
    </row>
    <row r="106" spans="1:7">
      <c r="A106" s="178"/>
      <c r="B106" s="162"/>
      <c r="C106" s="162"/>
      <c r="D106" s="162"/>
      <c r="E106" s="162"/>
      <c r="F106" s="162"/>
      <c r="G106" s="162"/>
    </row>
    <row r="107" spans="1:7">
      <c r="A107" s="177"/>
      <c r="B107" s="161"/>
      <c r="C107" s="161"/>
      <c r="D107" s="161"/>
      <c r="E107" s="161"/>
      <c r="F107" s="161"/>
      <c r="G107" s="161"/>
    </row>
    <row r="108" spans="1:7">
      <c r="A108" s="188"/>
      <c r="B108" s="187"/>
      <c r="C108" s="187"/>
      <c r="D108" s="187"/>
      <c r="E108" s="187"/>
      <c r="F108" s="187"/>
      <c r="G108" s="187"/>
    </row>
    <row r="109" spans="1:7">
      <c r="A109" s="177"/>
      <c r="B109" s="161"/>
      <c r="C109" s="161"/>
      <c r="D109" s="161"/>
      <c r="E109" s="161"/>
      <c r="F109" s="161"/>
      <c r="G109" s="161"/>
    </row>
    <row r="110" spans="1:7">
      <c r="A110" s="188"/>
      <c r="B110" s="187"/>
      <c r="C110" s="187"/>
      <c r="D110" s="187"/>
      <c r="E110" s="187"/>
      <c r="F110" s="187"/>
      <c r="G110" s="187"/>
    </row>
    <row r="111" spans="1:7">
      <c r="A111" s="188"/>
      <c r="B111" s="187"/>
      <c r="C111" s="187"/>
      <c r="D111" s="187"/>
      <c r="E111" s="187"/>
      <c r="F111" s="187"/>
      <c r="G111" s="187"/>
    </row>
    <row r="112" spans="1:7">
      <c r="A112" s="188"/>
      <c r="B112" s="187"/>
      <c r="C112" s="187"/>
      <c r="D112" s="187"/>
      <c r="E112" s="187"/>
      <c r="F112" s="187"/>
      <c r="G112" s="187"/>
    </row>
    <row r="113" spans="1:7">
      <c r="A113" s="188"/>
      <c r="B113" s="161"/>
      <c r="C113" s="161"/>
      <c r="D113" s="161"/>
      <c r="E113" s="161"/>
      <c r="F113" s="161"/>
      <c r="G113" s="161"/>
    </row>
    <row r="114" spans="1:7">
      <c r="A114" s="177"/>
      <c r="B114" s="161"/>
      <c r="C114" s="161"/>
      <c r="D114" s="161"/>
      <c r="E114" s="161"/>
      <c r="F114" s="161"/>
      <c r="G114" s="161"/>
    </row>
    <row r="115" spans="1:7">
      <c r="A115" s="188"/>
      <c r="B115" s="161"/>
      <c r="C115" s="161"/>
      <c r="D115" s="161"/>
      <c r="E115" s="161"/>
      <c r="F115" s="161"/>
      <c r="G115" s="161"/>
    </row>
    <row r="116" spans="1:7">
      <c r="A116" s="188"/>
      <c r="B116" s="187"/>
      <c r="C116" s="187"/>
      <c r="D116" s="187"/>
      <c r="E116" s="187"/>
      <c r="F116" s="187"/>
      <c r="G116" s="187"/>
    </row>
    <row r="117" spans="1:7">
      <c r="A117" s="188"/>
      <c r="B117" s="161"/>
      <c r="C117" s="161"/>
      <c r="D117" s="161"/>
      <c r="E117" s="161"/>
      <c r="F117" s="161"/>
      <c r="G117" s="161"/>
    </row>
    <row r="118" spans="1:7">
      <c r="A118" s="188"/>
      <c r="B118" s="161"/>
      <c r="C118" s="161"/>
      <c r="D118" s="161"/>
      <c r="E118" s="161"/>
      <c r="F118" s="161"/>
      <c r="G118" s="161"/>
    </row>
    <row r="119" spans="1:7">
      <c r="A119" s="178"/>
      <c r="B119" s="162"/>
      <c r="C119" s="162"/>
      <c r="D119" s="162"/>
      <c r="E119" s="162"/>
      <c r="F119" s="162"/>
      <c r="G119" s="162"/>
    </row>
    <row r="120" spans="1:7">
      <c r="A120" s="177"/>
      <c r="B120" s="161"/>
      <c r="C120" s="161"/>
      <c r="D120" s="161"/>
      <c r="E120" s="161"/>
      <c r="F120" s="161"/>
      <c r="G120" s="161"/>
    </row>
    <row r="121" spans="1:7">
      <c r="A121" s="177"/>
      <c r="B121" s="161"/>
      <c r="C121" s="161"/>
      <c r="D121" s="161"/>
      <c r="E121" s="161"/>
      <c r="F121" s="161"/>
      <c r="G121" s="161"/>
    </row>
    <row r="122" spans="1:7">
      <c r="A122" s="177"/>
      <c r="B122" s="161"/>
      <c r="C122" s="161"/>
      <c r="D122" s="161"/>
      <c r="E122" s="161"/>
      <c r="F122" s="161"/>
      <c r="G122" s="161"/>
    </row>
    <row r="123" spans="1:7">
      <c r="A123" s="177"/>
      <c r="B123" s="161"/>
      <c r="C123" s="161"/>
      <c r="D123" s="161"/>
      <c r="E123" s="161"/>
      <c r="F123" s="161"/>
      <c r="G123" s="161"/>
    </row>
    <row r="124" spans="1:7">
      <c r="A124" s="176"/>
      <c r="B124" s="160"/>
      <c r="C124" s="160"/>
      <c r="D124" s="160"/>
      <c r="E124" s="160"/>
      <c r="F124" s="160"/>
      <c r="G124" s="160"/>
    </row>
    <row r="125" spans="1:7">
      <c r="A125" s="177"/>
      <c r="B125" s="161"/>
      <c r="C125" s="161"/>
      <c r="D125" s="161"/>
      <c r="E125" s="161"/>
      <c r="F125" s="161"/>
      <c r="G125" s="161"/>
    </row>
    <row r="126" spans="1:7">
      <c r="A126" s="177"/>
      <c r="B126" s="161"/>
      <c r="C126" s="161"/>
      <c r="D126" s="161"/>
      <c r="E126" s="161"/>
      <c r="F126" s="161"/>
      <c r="G126" s="161"/>
    </row>
    <row r="127" spans="1:7">
      <c r="A127" s="177"/>
      <c r="B127" s="161"/>
      <c r="C127" s="161"/>
      <c r="D127" s="161"/>
      <c r="E127" s="161"/>
      <c r="F127" s="161"/>
      <c r="G127" s="161"/>
    </row>
    <row r="128" spans="1:7">
      <c r="A128" s="176"/>
      <c r="B128" s="160"/>
      <c r="C128" s="160"/>
      <c r="D128" s="160"/>
      <c r="E128" s="160"/>
      <c r="F128" s="160"/>
      <c r="G128" s="160"/>
    </row>
    <row r="129" spans="1:7">
      <c r="A129" s="178"/>
      <c r="B129" s="185"/>
      <c r="C129" s="162"/>
      <c r="D129" s="162"/>
      <c r="E129" s="162"/>
      <c r="F129" s="162"/>
      <c r="G129" s="162"/>
    </row>
  </sheetData>
  <mergeCells count="8">
    <mergeCell ref="A20:A21"/>
    <mergeCell ref="B20:F20"/>
    <mergeCell ref="G20:G21"/>
    <mergeCell ref="A2:G2"/>
    <mergeCell ref="A4:A5"/>
    <mergeCell ref="B4:F4"/>
    <mergeCell ref="G4:G5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AB15"/>
  <sheetViews>
    <sheetView workbookViewId="0">
      <selection activeCell="K18" sqref="K18"/>
    </sheetView>
  </sheetViews>
  <sheetFormatPr defaultRowHeight="12.75"/>
  <cols>
    <col min="1" max="1" width="24" customWidth="1"/>
  </cols>
  <sheetData>
    <row r="4" spans="1:28">
      <c r="A4" s="309" t="s">
        <v>200</v>
      </c>
      <c r="B4" s="168">
        <v>525</v>
      </c>
      <c r="C4" s="168">
        <v>629</v>
      </c>
      <c r="D4" s="168">
        <v>520</v>
      </c>
      <c r="E4" s="168">
        <v>1156</v>
      </c>
      <c r="F4" s="168">
        <v>824</v>
      </c>
      <c r="G4" s="168">
        <v>30</v>
      </c>
      <c r="H4" s="168">
        <v>3684</v>
      </c>
      <c r="I4" s="168">
        <f t="shared" ref="I4:I11" si="0">C4+D4+E4+F4+G4</f>
        <v>3159</v>
      </c>
      <c r="J4" s="168">
        <f>I4</f>
        <v>3159</v>
      </c>
      <c r="K4" s="168"/>
      <c r="L4" s="168">
        <v>3846</v>
      </c>
      <c r="M4" s="168" t="s">
        <v>206</v>
      </c>
      <c r="N4" s="168"/>
      <c r="O4" s="168">
        <v>530</v>
      </c>
      <c r="P4" s="168"/>
      <c r="Q4" s="168"/>
      <c r="R4" s="168"/>
      <c r="S4" s="168">
        <v>530</v>
      </c>
      <c r="T4" s="168"/>
      <c r="U4" s="168"/>
      <c r="V4" s="139">
        <v>612</v>
      </c>
      <c r="W4" s="168">
        <v>1215</v>
      </c>
      <c r="X4" s="168">
        <v>859</v>
      </c>
      <c r="Y4" s="168">
        <v>633</v>
      </c>
      <c r="Z4" s="168">
        <v>390</v>
      </c>
      <c r="AA4" s="139"/>
    </row>
    <row r="5" spans="1:28">
      <c r="A5" s="309" t="s">
        <v>56</v>
      </c>
      <c r="B5" s="168">
        <v>491</v>
      </c>
      <c r="C5" s="168">
        <v>388</v>
      </c>
      <c r="D5" s="168">
        <v>302</v>
      </c>
      <c r="E5" s="168">
        <v>302</v>
      </c>
      <c r="F5" s="168">
        <v>80</v>
      </c>
      <c r="G5" s="168">
        <v>13</v>
      </c>
      <c r="H5" s="168">
        <v>1576</v>
      </c>
      <c r="I5" s="168">
        <f t="shared" si="0"/>
        <v>1085</v>
      </c>
      <c r="J5" s="168">
        <f>I5</f>
        <v>1085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39">
        <v>452</v>
      </c>
      <c r="W5" s="168">
        <v>341</v>
      </c>
      <c r="X5" s="168">
        <v>468</v>
      </c>
      <c r="Y5" s="168">
        <v>317</v>
      </c>
      <c r="Z5" s="168">
        <v>110</v>
      </c>
      <c r="AA5" s="168"/>
      <c r="AB5" s="168"/>
    </row>
    <row r="6" spans="1:28">
      <c r="A6" s="139" t="s">
        <v>217</v>
      </c>
      <c r="B6" s="168">
        <v>247</v>
      </c>
      <c r="C6" s="168">
        <v>201</v>
      </c>
      <c r="D6" s="168">
        <v>213</v>
      </c>
      <c r="E6" s="168">
        <v>124</v>
      </c>
      <c r="F6" s="168">
        <v>26</v>
      </c>
      <c r="G6" s="168">
        <v>7</v>
      </c>
      <c r="H6" s="168">
        <v>818</v>
      </c>
      <c r="I6" s="168">
        <f t="shared" si="0"/>
        <v>571</v>
      </c>
      <c r="J6" s="168">
        <f>I6+I7</f>
        <v>692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39">
        <v>375</v>
      </c>
      <c r="W6" s="168">
        <v>185</v>
      </c>
      <c r="X6" s="168">
        <v>197</v>
      </c>
      <c r="Y6" s="168">
        <v>169</v>
      </c>
      <c r="Z6" s="168">
        <v>51</v>
      </c>
      <c r="AA6" s="139"/>
    </row>
    <row r="7" spans="1:28">
      <c r="A7" s="139" t="s">
        <v>219</v>
      </c>
      <c r="B7" s="168">
        <v>66</v>
      </c>
      <c r="C7" s="168">
        <v>85</v>
      </c>
      <c r="D7" s="168">
        <v>36</v>
      </c>
      <c r="E7" s="168">
        <v>0</v>
      </c>
      <c r="F7" s="168">
        <v>0</v>
      </c>
      <c r="G7" s="168">
        <v>0</v>
      </c>
      <c r="H7" s="168">
        <v>187</v>
      </c>
      <c r="I7" s="168">
        <f t="shared" si="0"/>
        <v>121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39">
        <v>119</v>
      </c>
      <c r="W7" s="168">
        <v>157</v>
      </c>
      <c r="X7" s="168">
        <v>99</v>
      </c>
      <c r="Y7" s="168">
        <v>19</v>
      </c>
      <c r="Z7" s="168">
        <v>1</v>
      </c>
    </row>
    <row r="8" spans="1:28">
      <c r="A8" s="139" t="s">
        <v>16</v>
      </c>
      <c r="B8" s="168">
        <v>284</v>
      </c>
      <c r="C8" s="168">
        <v>188</v>
      </c>
      <c r="D8" s="168">
        <v>160</v>
      </c>
      <c r="E8" s="168">
        <v>111</v>
      </c>
      <c r="F8" s="168">
        <v>50</v>
      </c>
      <c r="G8" s="168">
        <v>5</v>
      </c>
      <c r="H8" s="168">
        <v>666</v>
      </c>
      <c r="I8" s="168">
        <f t="shared" si="0"/>
        <v>514</v>
      </c>
      <c r="J8" s="168">
        <f>I8</f>
        <v>514</v>
      </c>
      <c r="K8" s="168"/>
      <c r="L8" s="168">
        <v>688</v>
      </c>
      <c r="M8" s="168"/>
      <c r="N8" s="168"/>
      <c r="O8" s="168"/>
      <c r="P8" s="168"/>
      <c r="Q8" s="168"/>
      <c r="R8" s="168"/>
      <c r="S8" s="168"/>
      <c r="T8" s="168"/>
      <c r="U8" s="168"/>
      <c r="X8" s="168">
        <v>666</v>
      </c>
    </row>
    <row r="9" spans="1:28">
      <c r="A9" s="139" t="s">
        <v>19</v>
      </c>
      <c r="B9" s="168">
        <v>530</v>
      </c>
      <c r="C9" s="168">
        <v>461</v>
      </c>
      <c r="D9" s="168">
        <v>394</v>
      </c>
      <c r="E9" s="168">
        <v>251</v>
      </c>
      <c r="F9" s="168">
        <v>50</v>
      </c>
      <c r="G9" s="168">
        <v>7</v>
      </c>
      <c r="H9" s="168">
        <v>1693</v>
      </c>
      <c r="I9" s="168">
        <f t="shared" si="0"/>
        <v>1163</v>
      </c>
      <c r="J9" s="168">
        <f>I9</f>
        <v>1163</v>
      </c>
      <c r="K9" s="168">
        <v>1163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>
        <v>251</v>
      </c>
      <c r="W9" s="168">
        <v>117</v>
      </c>
      <c r="X9" s="168">
        <v>144</v>
      </c>
      <c r="Y9" s="168">
        <v>83</v>
      </c>
      <c r="Z9" s="168">
        <v>7</v>
      </c>
    </row>
    <row r="10" spans="1:28">
      <c r="A10" s="309" t="s">
        <v>277</v>
      </c>
      <c r="B10" s="168">
        <v>636</v>
      </c>
      <c r="C10" s="168">
        <v>458</v>
      </c>
      <c r="D10" s="168">
        <v>543</v>
      </c>
      <c r="E10" s="168">
        <v>439</v>
      </c>
      <c r="F10" s="168">
        <v>27</v>
      </c>
      <c r="G10" s="168">
        <v>11</v>
      </c>
      <c r="H10" s="168">
        <v>2114</v>
      </c>
      <c r="I10" s="168">
        <f t="shared" si="0"/>
        <v>1478</v>
      </c>
      <c r="J10" s="168">
        <f>I10+I11</f>
        <v>1628</v>
      </c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>
        <v>723</v>
      </c>
      <c r="W10" s="168">
        <v>498</v>
      </c>
      <c r="X10" s="168">
        <v>386</v>
      </c>
      <c r="Y10" s="168">
        <v>341</v>
      </c>
      <c r="Z10" s="168">
        <v>57</v>
      </c>
    </row>
    <row r="11" spans="1:28">
      <c r="A11" s="309" t="s">
        <v>278</v>
      </c>
      <c r="B11" s="168">
        <v>153</v>
      </c>
      <c r="C11" s="168">
        <v>150</v>
      </c>
      <c r="D11" s="168">
        <v>0</v>
      </c>
      <c r="E11" s="168">
        <v>0</v>
      </c>
      <c r="F11" s="168">
        <v>0</v>
      </c>
      <c r="G11" s="168">
        <v>0</v>
      </c>
      <c r="H11" s="168">
        <v>303</v>
      </c>
      <c r="I11" s="168">
        <f t="shared" si="0"/>
        <v>150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39">
        <v>304</v>
      </c>
      <c r="W11" s="168">
        <v>343</v>
      </c>
      <c r="X11" s="168">
        <v>61</v>
      </c>
      <c r="Z11" s="168">
        <v>2</v>
      </c>
    </row>
    <row r="12" spans="1:28">
      <c r="B12" s="168">
        <f t="shared" ref="B12:H12" si="1">SUM(B4:B11)</f>
        <v>2932</v>
      </c>
      <c r="C12" s="168">
        <f t="shared" si="1"/>
        <v>2560</v>
      </c>
      <c r="D12" s="168">
        <f t="shared" si="1"/>
        <v>2168</v>
      </c>
      <c r="E12" s="168">
        <f t="shared" si="1"/>
        <v>2383</v>
      </c>
      <c r="F12" s="168">
        <f t="shared" si="1"/>
        <v>1057</v>
      </c>
      <c r="G12" s="168">
        <f t="shared" si="1"/>
        <v>73</v>
      </c>
      <c r="H12" s="168">
        <f t="shared" si="1"/>
        <v>11041</v>
      </c>
      <c r="J12" s="168">
        <f>SUM(J4:J11)</f>
        <v>8241</v>
      </c>
    </row>
    <row r="13" spans="1:28">
      <c r="H13" s="168">
        <f>H12-B12</f>
        <v>8109</v>
      </c>
    </row>
    <row r="15" spans="1:28">
      <c r="H15">
        <f>8241-8109</f>
        <v>132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14" sqref="D14"/>
    </sheetView>
  </sheetViews>
  <sheetFormatPr defaultRowHeight="21"/>
  <cols>
    <col min="1" max="1" width="26.42578125" style="148" customWidth="1"/>
    <col min="2" max="2" width="11.5703125" style="148" customWidth="1"/>
    <col min="3" max="3" width="19" style="148" customWidth="1"/>
    <col min="4" max="4" width="11.140625" style="148" customWidth="1"/>
    <col min="5" max="5" width="12.28515625" style="148" customWidth="1"/>
    <col min="6" max="6" width="11.140625" style="148" customWidth="1"/>
    <col min="7" max="16384" width="9.140625" style="148"/>
  </cols>
  <sheetData>
    <row r="1" spans="1:7" ht="23.25">
      <c r="A1" s="916" t="s">
        <v>290</v>
      </c>
      <c r="B1" s="916"/>
      <c r="C1" s="916"/>
      <c r="D1" s="916"/>
      <c r="E1" s="916"/>
      <c r="F1" s="916"/>
      <c r="G1" s="350"/>
    </row>
    <row r="2" spans="1:7" ht="23.25">
      <c r="A2" s="916" t="s">
        <v>291</v>
      </c>
      <c r="B2" s="916"/>
      <c r="C2" s="916"/>
      <c r="D2" s="916"/>
      <c r="E2" s="916"/>
      <c r="F2" s="916"/>
      <c r="G2" s="916"/>
    </row>
    <row r="4" spans="1:7">
      <c r="A4" s="890" t="s">
        <v>292</v>
      </c>
      <c r="B4" s="889" t="s">
        <v>202</v>
      </c>
      <c r="C4" s="889"/>
      <c r="D4" s="889"/>
      <c r="E4" s="889"/>
      <c r="F4" s="890" t="s">
        <v>59</v>
      </c>
    </row>
    <row r="5" spans="1:7">
      <c r="A5" s="890"/>
      <c r="B5" s="346" t="s">
        <v>47</v>
      </c>
      <c r="C5" s="346" t="s">
        <v>293</v>
      </c>
      <c r="D5" s="346" t="s">
        <v>48</v>
      </c>
      <c r="E5" s="346" t="s">
        <v>49</v>
      </c>
      <c r="F5" s="890"/>
    </row>
    <row r="6" spans="1:7">
      <c r="A6" s="348" t="s">
        <v>44</v>
      </c>
      <c r="B6" s="351">
        <f>ปกติ!G146</f>
        <v>9409</v>
      </c>
      <c r="C6" s="351">
        <v>0</v>
      </c>
      <c r="D6" s="351">
        <f>ปกติ!G149</f>
        <v>18</v>
      </c>
      <c r="E6" s="351">
        <f>ปกติ!G150</f>
        <v>37</v>
      </c>
      <c r="F6" s="351">
        <f>SUM(B6:E6)</f>
        <v>9464</v>
      </c>
    </row>
    <row r="7" spans="1:7">
      <c r="A7" s="349" t="s">
        <v>45</v>
      </c>
      <c r="B7" s="352">
        <f>กศ.ป.!I83</f>
        <v>1852</v>
      </c>
      <c r="C7" s="349" t="e">
        <f>บัณฑิตศึกษา!#REF!</f>
        <v>#REF!</v>
      </c>
      <c r="D7" s="349" t="e">
        <f>บัณฑิตศึกษา!#REF!</f>
        <v>#REF!</v>
      </c>
      <c r="E7" s="349" t="e">
        <f>บัณฑิตศึกษา!#REF!</f>
        <v>#REF!</v>
      </c>
      <c r="F7" s="352" t="e">
        <f>SUM(B7:E7)</f>
        <v>#REF!</v>
      </c>
    </row>
    <row r="8" spans="1:7" s="153" customFormat="1">
      <c r="A8" s="346" t="s">
        <v>3</v>
      </c>
      <c r="B8" s="353">
        <f>SUM(B6:B7)</f>
        <v>11261</v>
      </c>
      <c r="C8" s="353" t="e">
        <f>SUM(C6:C7)</f>
        <v>#REF!</v>
      </c>
      <c r="D8" s="353" t="e">
        <f>SUM(D6:D7)</f>
        <v>#REF!</v>
      </c>
      <c r="E8" s="353" t="e">
        <f>SUM(E6:E7)</f>
        <v>#REF!</v>
      </c>
      <c r="F8" s="353" t="e">
        <f>SUM(F6:F7)</f>
        <v>#REF!</v>
      </c>
    </row>
  </sheetData>
  <mergeCells count="5">
    <mergeCell ref="B4:E4"/>
    <mergeCell ref="F4:F5"/>
    <mergeCell ref="A4:A5"/>
    <mergeCell ref="A1:F1"/>
    <mergeCell ref="A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146"/>
  <sheetViews>
    <sheetView tabSelected="1" view="pageBreakPreview" zoomScale="110" zoomScaleNormal="110" zoomScaleSheetLayoutView="110" workbookViewId="0">
      <pane xSplit="1" ySplit="5" topLeftCell="J6" activePane="bottomRight" state="frozen"/>
      <selection pane="topRight" activeCell="B1" sqref="B1"/>
      <selection pane="bottomLeft" activeCell="A3" sqref="A3"/>
      <selection pane="bottomRight" activeCell="V21" sqref="V21"/>
    </sheetView>
  </sheetViews>
  <sheetFormatPr defaultRowHeight="21"/>
  <cols>
    <col min="1" max="1" width="61.4257812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customWidth="1"/>
    <col min="11" max="16" width="0" style="421" hidden="1" customWidth="1"/>
    <col min="17" max="17" width="8.5703125" style="421" hidden="1" customWidth="1"/>
    <col min="18" max="18" width="12.28515625" style="421" customWidth="1"/>
    <col min="19" max="33" width="6.7109375" style="93" customWidth="1"/>
    <col min="34" max="16384" width="9.140625" style="93"/>
  </cols>
  <sheetData>
    <row r="1" spans="1:33">
      <c r="A1" s="787" t="s">
        <v>398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</row>
    <row r="2" spans="1:33">
      <c r="A2" s="743"/>
      <c r="B2" s="743"/>
      <c r="C2" s="743"/>
      <c r="D2" s="743"/>
      <c r="E2" s="743"/>
      <c r="F2" s="743"/>
      <c r="G2" s="743"/>
      <c r="H2" s="743"/>
      <c r="I2" s="743"/>
      <c r="J2" s="160"/>
      <c r="K2" s="160"/>
      <c r="L2" s="160"/>
      <c r="M2" s="160"/>
      <c r="N2" s="160"/>
      <c r="O2" s="160"/>
      <c r="P2" s="160"/>
      <c r="Q2" s="160"/>
      <c r="R2" s="160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3"/>
      <c r="AG2" s="743"/>
    </row>
    <row r="3" spans="1:33">
      <c r="A3" s="878" t="s">
        <v>0</v>
      </c>
      <c r="B3" s="622"/>
      <c r="C3" s="877" t="s">
        <v>131</v>
      </c>
      <c r="D3" s="877"/>
      <c r="E3" s="877"/>
      <c r="F3" s="877"/>
      <c r="G3" s="877"/>
      <c r="H3" s="877"/>
      <c r="I3" s="877"/>
      <c r="J3" s="879" t="s">
        <v>355</v>
      </c>
      <c r="K3" s="705"/>
      <c r="L3" s="705"/>
      <c r="M3" s="705"/>
      <c r="N3" s="705"/>
      <c r="O3" s="705"/>
      <c r="P3" s="705"/>
      <c r="Q3" s="705"/>
      <c r="R3" s="882" t="s">
        <v>363</v>
      </c>
      <c r="S3" s="917" t="s">
        <v>361</v>
      </c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9"/>
    </row>
    <row r="4" spans="1:33">
      <c r="A4" s="878"/>
      <c r="B4" s="724">
        <v>2559</v>
      </c>
      <c r="C4" s="724">
        <v>2558</v>
      </c>
      <c r="D4" s="724">
        <v>2557</v>
      </c>
      <c r="E4" s="724">
        <v>2556</v>
      </c>
      <c r="F4" s="722">
        <v>2555</v>
      </c>
      <c r="G4" s="722">
        <v>2554</v>
      </c>
      <c r="H4" s="722">
        <v>2553</v>
      </c>
      <c r="I4" s="722">
        <v>2551</v>
      </c>
      <c r="J4" s="879"/>
      <c r="K4" s="723" t="s">
        <v>84</v>
      </c>
      <c r="L4" s="723" t="s">
        <v>85</v>
      </c>
      <c r="M4" s="723" t="s">
        <v>86</v>
      </c>
      <c r="N4" s="723" t="s">
        <v>87</v>
      </c>
      <c r="O4" s="723" t="s">
        <v>88</v>
      </c>
      <c r="P4" s="880" t="s">
        <v>3</v>
      </c>
      <c r="Q4" s="705"/>
      <c r="R4" s="882"/>
      <c r="S4" s="699" t="s">
        <v>356</v>
      </c>
      <c r="T4" s="699" t="s">
        <v>357</v>
      </c>
      <c r="U4" s="699" t="s">
        <v>358</v>
      </c>
      <c r="V4" s="699" t="s">
        <v>359</v>
      </c>
      <c r="W4" s="699" t="s">
        <v>360</v>
      </c>
      <c r="X4" s="699" t="s">
        <v>386</v>
      </c>
      <c r="Y4" s="699" t="s">
        <v>387</v>
      </c>
      <c r="Z4" s="699" t="s">
        <v>388</v>
      </c>
      <c r="AA4" s="699" t="s">
        <v>389</v>
      </c>
      <c r="AB4" s="699" t="s">
        <v>390</v>
      </c>
      <c r="AC4" s="699" t="s">
        <v>391</v>
      </c>
      <c r="AD4" s="699" t="s">
        <v>392</v>
      </c>
      <c r="AE4" s="699" t="s">
        <v>393</v>
      </c>
      <c r="AF4" s="699" t="s">
        <v>394</v>
      </c>
      <c r="AG4" s="699" t="s">
        <v>395</v>
      </c>
    </row>
    <row r="5" spans="1:33" ht="12.75" hidden="1" customHeight="1">
      <c r="A5" s="878"/>
      <c r="B5" s="745"/>
      <c r="C5" s="745"/>
      <c r="D5" s="745"/>
      <c r="E5" s="745"/>
      <c r="F5" s="726" t="s">
        <v>1</v>
      </c>
      <c r="G5" s="726" t="s">
        <v>1</v>
      </c>
      <c r="H5" s="726"/>
      <c r="I5" s="726"/>
      <c r="J5" s="727" t="s">
        <v>1</v>
      </c>
      <c r="K5" s="727" t="s">
        <v>1</v>
      </c>
      <c r="L5" s="727"/>
      <c r="M5" s="727"/>
      <c r="N5" s="727"/>
      <c r="O5" s="727" t="s">
        <v>2</v>
      </c>
      <c r="P5" s="881"/>
      <c r="Q5" s="705"/>
      <c r="R5" s="705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</row>
    <row r="6" spans="1:33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711"/>
      <c r="K6" s="711"/>
      <c r="L6" s="711"/>
      <c r="M6" s="711"/>
      <c r="N6" s="711"/>
      <c r="O6" s="711"/>
      <c r="P6" s="711"/>
      <c r="Q6" s="491"/>
      <c r="R6" s="491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</row>
    <row r="7" spans="1:33">
      <c r="A7" s="659" t="s">
        <v>92</v>
      </c>
      <c r="B7" s="659"/>
      <c r="C7" s="659"/>
      <c r="D7" s="659"/>
      <c r="E7" s="659"/>
      <c r="F7" s="660"/>
      <c r="G7" s="660"/>
      <c r="H7" s="660"/>
      <c r="I7" s="660"/>
      <c r="J7" s="662">
        <f t="shared" ref="J7:J15" si="0">SUM(B7:I7)</f>
        <v>0</v>
      </c>
      <c r="K7" s="734">
        <v>52</v>
      </c>
      <c r="L7" s="734">
        <v>64</v>
      </c>
      <c r="M7" s="734">
        <v>20</v>
      </c>
      <c r="N7" s="734">
        <v>54</v>
      </c>
      <c r="O7" s="734"/>
      <c r="P7" s="662">
        <f t="shared" ref="P7:P25" si="1">SUM(J7:O7)</f>
        <v>190</v>
      </c>
      <c r="Q7" s="701" t="s">
        <v>39</v>
      </c>
      <c r="R7" s="701">
        <f>B7</f>
        <v>0</v>
      </c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</row>
    <row r="8" spans="1:33" s="461" customFormat="1">
      <c r="A8" s="250" t="s">
        <v>93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713">
        <v>17</v>
      </c>
      <c r="L8" s="252"/>
      <c r="M8" s="252"/>
      <c r="N8" s="252"/>
      <c r="O8" s="252"/>
      <c r="P8" s="252">
        <f t="shared" si="1"/>
        <v>17</v>
      </c>
      <c r="Q8" s="614" t="s">
        <v>39</v>
      </c>
      <c r="R8" s="614">
        <f>B8</f>
        <v>0</v>
      </c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</row>
    <row r="9" spans="1:33">
      <c r="A9" s="250" t="s">
        <v>94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713">
        <v>27</v>
      </c>
      <c r="L9" s="252"/>
      <c r="M9" s="252"/>
      <c r="N9" s="252"/>
      <c r="O9" s="252"/>
      <c r="P9" s="252">
        <f t="shared" si="1"/>
        <v>27</v>
      </c>
      <c r="Q9" s="614" t="s">
        <v>39</v>
      </c>
      <c r="R9" s="614">
        <f t="shared" ref="R9:R14" si="2">B9</f>
        <v>0</v>
      </c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</row>
    <row r="10" spans="1:33" s="461" customFormat="1">
      <c r="A10" s="250" t="s">
        <v>112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614" t="s">
        <v>41</v>
      </c>
      <c r="R10" s="614">
        <f t="shared" si="2"/>
        <v>0</v>
      </c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</row>
    <row r="11" spans="1:33">
      <c r="A11" s="250" t="s">
        <v>113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614" t="s">
        <v>41</v>
      </c>
      <c r="R11" s="614">
        <f t="shared" si="2"/>
        <v>0</v>
      </c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1"/>
      <c r="AE11" s="691"/>
      <c r="AF11" s="691"/>
      <c r="AG11" s="691"/>
    </row>
    <row r="12" spans="1:33">
      <c r="A12" s="250" t="s">
        <v>114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614"/>
      <c r="R12" s="614">
        <f t="shared" si="2"/>
        <v>0</v>
      </c>
      <c r="S12" s="691"/>
      <c r="T12" s="691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</row>
    <row r="13" spans="1:33">
      <c r="A13" s="250" t="s">
        <v>115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713"/>
      <c r="L13" s="252"/>
      <c r="M13" s="252"/>
      <c r="N13" s="252"/>
      <c r="O13" s="252"/>
      <c r="P13" s="252">
        <f t="shared" si="1"/>
        <v>0</v>
      </c>
      <c r="Q13" s="767">
        <v>526</v>
      </c>
      <c r="R13" s="614">
        <f t="shared" si="2"/>
        <v>0</v>
      </c>
      <c r="S13" s="691"/>
      <c r="T13" s="691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</row>
    <row r="14" spans="1:33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767">
        <v>116</v>
      </c>
      <c r="R14" s="614">
        <f t="shared" si="2"/>
        <v>0</v>
      </c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</row>
    <row r="15" spans="1:33" s="461" customFormat="1">
      <c r="A15" s="250" t="s">
        <v>10</v>
      </c>
      <c r="B15" s="250"/>
      <c r="C15" s="250"/>
      <c r="D15" s="250"/>
      <c r="E15" s="250"/>
      <c r="F15" s="368"/>
      <c r="G15" s="368"/>
      <c r="H15" s="368"/>
      <c r="I15" s="368"/>
      <c r="J15" s="252">
        <f t="shared" si="0"/>
        <v>0</v>
      </c>
      <c r="K15" s="713">
        <v>24</v>
      </c>
      <c r="L15" s="252"/>
      <c r="M15" s="252"/>
      <c r="N15" s="252"/>
      <c r="O15" s="252"/>
      <c r="P15" s="252">
        <f t="shared" si="1"/>
        <v>24</v>
      </c>
      <c r="Q15" s="614"/>
      <c r="R15" s="614">
        <f>B15</f>
        <v>0</v>
      </c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</row>
    <row r="16" spans="1:33" hidden="1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713">
        <v>142</v>
      </c>
      <c r="L16" s="713">
        <v>334</v>
      </c>
      <c r="M16" s="713">
        <v>9</v>
      </c>
      <c r="N16" s="252">
        <v>1</v>
      </c>
      <c r="O16" s="252"/>
      <c r="P16" s="252">
        <f t="shared" si="1"/>
        <v>486</v>
      </c>
      <c r="Q16" s="614" t="s">
        <v>39</v>
      </c>
      <c r="R16" s="614"/>
      <c r="S16" s="691"/>
      <c r="T16" s="691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</row>
    <row r="17" spans="1:34" hidden="1">
      <c r="A17" s="250" t="s">
        <v>7</v>
      </c>
      <c r="B17" s="250"/>
      <c r="C17" s="250"/>
      <c r="D17" s="250"/>
      <c r="E17" s="250"/>
      <c r="F17" s="368"/>
      <c r="G17" s="368"/>
      <c r="H17" s="368"/>
      <c r="I17" s="368"/>
      <c r="J17" s="252"/>
      <c r="K17" s="713">
        <v>36</v>
      </c>
      <c r="L17" s="252"/>
      <c r="M17" s="252"/>
      <c r="N17" s="252"/>
      <c r="O17" s="252"/>
      <c r="P17" s="252">
        <f t="shared" si="1"/>
        <v>36</v>
      </c>
      <c r="Q17" s="614"/>
      <c r="R17" s="614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</row>
    <row r="18" spans="1:34" hidden="1">
      <c r="A18" s="250"/>
      <c r="B18" s="250"/>
      <c r="C18" s="250"/>
      <c r="D18" s="250"/>
      <c r="E18" s="250"/>
      <c r="F18" s="368"/>
      <c r="G18" s="368"/>
      <c r="H18" s="368"/>
      <c r="I18" s="368"/>
      <c r="J18" s="252"/>
      <c r="K18" s="713">
        <v>42</v>
      </c>
      <c r="L18" s="713">
        <v>48</v>
      </c>
      <c r="M18" s="713">
        <v>7</v>
      </c>
      <c r="N18" s="252"/>
      <c r="O18" s="252"/>
      <c r="P18" s="252">
        <f t="shared" si="1"/>
        <v>97</v>
      </c>
      <c r="Q18" s="614" t="s">
        <v>41</v>
      </c>
      <c r="R18" s="614"/>
      <c r="S18" s="691"/>
      <c r="T18" s="691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</row>
    <row r="19" spans="1:34" hidden="1">
      <c r="A19" s="250" t="s">
        <v>9</v>
      </c>
      <c r="B19" s="250"/>
      <c r="C19" s="250"/>
      <c r="D19" s="250"/>
      <c r="E19" s="250"/>
      <c r="F19" s="368"/>
      <c r="G19" s="368"/>
      <c r="H19" s="368"/>
      <c r="I19" s="368"/>
      <c r="J19" s="252"/>
      <c r="K19" s="713">
        <v>36</v>
      </c>
      <c r="L19" s="252"/>
      <c r="M19" s="252"/>
      <c r="N19" s="252"/>
      <c r="O19" s="252"/>
      <c r="P19" s="252">
        <f t="shared" si="1"/>
        <v>36</v>
      </c>
      <c r="Q19" s="614"/>
      <c r="R19" s="614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</row>
    <row r="20" spans="1:34">
      <c r="A20" s="681" t="s">
        <v>396</v>
      </c>
      <c r="B20" s="250"/>
      <c r="C20" s="250"/>
      <c r="D20" s="250"/>
      <c r="E20" s="250"/>
      <c r="F20" s="368"/>
      <c r="G20" s="368"/>
      <c r="H20" s="368"/>
      <c r="I20" s="368"/>
      <c r="J20" s="252"/>
      <c r="K20" s="713"/>
      <c r="L20" s="252"/>
      <c r="M20" s="252"/>
      <c r="N20" s="252"/>
      <c r="O20" s="252"/>
      <c r="P20" s="252"/>
      <c r="Q20" s="614"/>
      <c r="R20" s="614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</row>
    <row r="21" spans="1:34">
      <c r="A21" s="681"/>
      <c r="B21" s="250"/>
      <c r="C21" s="250"/>
      <c r="D21" s="250"/>
      <c r="E21" s="250"/>
      <c r="F21" s="368"/>
      <c r="G21" s="368"/>
      <c r="H21" s="368"/>
      <c r="I21" s="368"/>
      <c r="J21" s="252"/>
      <c r="K21" s="713"/>
      <c r="L21" s="252"/>
      <c r="M21" s="252"/>
      <c r="N21" s="252"/>
      <c r="O21" s="252"/>
      <c r="P21" s="252"/>
      <c r="Q21" s="614"/>
      <c r="R21" s="614"/>
      <c r="S21" s="691"/>
      <c r="T21" s="691"/>
      <c r="U21" s="691"/>
      <c r="V21" s="691"/>
      <c r="W21" s="691"/>
      <c r="X21" s="691"/>
      <c r="Y21" s="691"/>
      <c r="Z21" s="691"/>
      <c r="AA21" s="691"/>
      <c r="AB21" s="691"/>
      <c r="AC21" s="691"/>
      <c r="AD21" s="691"/>
      <c r="AE21" s="691"/>
      <c r="AF21" s="691"/>
      <c r="AG21" s="691"/>
    </row>
    <row r="22" spans="1:34">
      <c r="A22" s="250"/>
      <c r="B22" s="250"/>
      <c r="C22" s="250"/>
      <c r="D22" s="250"/>
      <c r="E22" s="250"/>
      <c r="F22" s="368"/>
      <c r="G22" s="368"/>
      <c r="H22" s="368"/>
      <c r="I22" s="368"/>
      <c r="J22" s="252"/>
      <c r="K22" s="713"/>
      <c r="L22" s="252"/>
      <c r="M22" s="252"/>
      <c r="N22" s="252"/>
      <c r="O22" s="252"/>
      <c r="P22" s="252"/>
      <c r="Q22" s="614"/>
      <c r="R22" s="614"/>
      <c r="S22" s="691"/>
      <c r="T22" s="691"/>
      <c r="U22" s="691"/>
      <c r="V22" s="691"/>
      <c r="W22" s="691"/>
      <c r="X22" s="691"/>
      <c r="Y22" s="691"/>
      <c r="Z22" s="691"/>
      <c r="AA22" s="691"/>
      <c r="AB22" s="691"/>
      <c r="AC22" s="691"/>
      <c r="AD22" s="691"/>
      <c r="AE22" s="691"/>
      <c r="AF22" s="691"/>
      <c r="AG22" s="691"/>
    </row>
    <row r="23" spans="1:34">
      <c r="A23" s="250"/>
      <c r="B23" s="250"/>
      <c r="C23" s="250"/>
      <c r="D23" s="250"/>
      <c r="E23" s="250"/>
      <c r="F23" s="368"/>
      <c r="G23" s="368"/>
      <c r="H23" s="368"/>
      <c r="I23" s="368"/>
      <c r="J23" s="252"/>
      <c r="K23" s="713"/>
      <c r="L23" s="252"/>
      <c r="M23" s="252"/>
      <c r="N23" s="252"/>
      <c r="O23" s="252"/>
      <c r="P23" s="252"/>
      <c r="Q23" s="614"/>
      <c r="R23" s="614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1"/>
    </row>
    <row r="24" spans="1:34">
      <c r="A24" s="665"/>
      <c r="B24" s="665"/>
      <c r="C24" s="665"/>
      <c r="D24" s="665"/>
      <c r="E24" s="665"/>
      <c r="F24" s="666"/>
      <c r="G24" s="666"/>
      <c r="H24" s="666"/>
      <c r="I24" s="666"/>
      <c r="J24" s="668"/>
      <c r="K24" s="768"/>
      <c r="L24" s="668"/>
      <c r="M24" s="668"/>
      <c r="N24" s="668"/>
      <c r="O24" s="668"/>
      <c r="P24" s="668"/>
      <c r="Q24" s="737"/>
      <c r="R24" s="737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</row>
    <row r="25" spans="1:34">
      <c r="A25" s="95" t="s">
        <v>3</v>
      </c>
      <c r="B25" s="95">
        <f t="shared" ref="B25:O25" si="3">SUM(B7:B19)</f>
        <v>0</v>
      </c>
      <c r="C25" s="95">
        <f t="shared" si="3"/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106">
        <f t="shared" si="3"/>
        <v>0</v>
      </c>
      <c r="K25" s="106">
        <f t="shared" si="3"/>
        <v>395</v>
      </c>
      <c r="L25" s="106">
        <f t="shared" si="3"/>
        <v>446</v>
      </c>
      <c r="M25" s="106">
        <f t="shared" si="3"/>
        <v>36</v>
      </c>
      <c r="N25" s="106">
        <f t="shared" si="3"/>
        <v>55</v>
      </c>
      <c r="O25" s="106">
        <f t="shared" si="3"/>
        <v>0</v>
      </c>
      <c r="P25" s="715">
        <f t="shared" si="1"/>
        <v>932</v>
      </c>
      <c r="Q25" s="106">
        <f>1563+44+26+48+23+18+56+38</f>
        <v>1816</v>
      </c>
      <c r="R25" s="106">
        <f t="shared" ref="R25:AG25" si="4">SUM(R7:R19)</f>
        <v>0</v>
      </c>
      <c r="S25" s="106">
        <f t="shared" si="4"/>
        <v>0</v>
      </c>
      <c r="T25" s="106">
        <f t="shared" si="4"/>
        <v>0</v>
      </c>
      <c r="U25" s="106">
        <f t="shared" si="4"/>
        <v>0</v>
      </c>
      <c r="V25" s="106">
        <f t="shared" si="4"/>
        <v>0</v>
      </c>
      <c r="W25" s="106">
        <f t="shared" si="4"/>
        <v>0</v>
      </c>
      <c r="X25" s="106">
        <f t="shared" si="4"/>
        <v>0</v>
      </c>
      <c r="Y25" s="106">
        <f t="shared" si="4"/>
        <v>0</v>
      </c>
      <c r="Z25" s="106">
        <f t="shared" si="4"/>
        <v>0</v>
      </c>
      <c r="AA25" s="106">
        <f t="shared" si="4"/>
        <v>0</v>
      </c>
      <c r="AB25" s="106">
        <f t="shared" si="4"/>
        <v>0</v>
      </c>
      <c r="AC25" s="106">
        <f t="shared" si="4"/>
        <v>0</v>
      </c>
      <c r="AD25" s="106">
        <f t="shared" si="4"/>
        <v>0</v>
      </c>
      <c r="AE25" s="106">
        <f t="shared" si="4"/>
        <v>0</v>
      </c>
      <c r="AF25" s="106">
        <f t="shared" si="4"/>
        <v>0</v>
      </c>
      <c r="AG25" s="106">
        <f t="shared" si="4"/>
        <v>0</v>
      </c>
    </row>
    <row r="26" spans="1:34">
      <c r="A26" s="382" t="s">
        <v>15</v>
      </c>
      <c r="B26" s="404"/>
      <c r="C26" s="404"/>
      <c r="D26" s="404"/>
      <c r="E26" s="404"/>
      <c r="F26" s="385"/>
      <c r="G26" s="694"/>
      <c r="H26" s="385"/>
      <c r="I26" s="385"/>
      <c r="J26" s="254"/>
      <c r="K26" s="254"/>
      <c r="L26" s="254"/>
      <c r="M26" s="254"/>
      <c r="N26" s="254"/>
      <c r="O26" s="254"/>
      <c r="P26" s="254"/>
      <c r="Q26" s="421">
        <f>1844-1816</f>
        <v>28</v>
      </c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</row>
    <row r="27" spans="1:34">
      <c r="A27" s="100" t="s">
        <v>125</v>
      </c>
      <c r="B27" s="100"/>
      <c r="C27" s="100"/>
      <c r="D27" s="100"/>
      <c r="E27" s="100">
        <v>17</v>
      </c>
      <c r="F27" s="386">
        <v>3</v>
      </c>
      <c r="G27" s="731"/>
      <c r="H27" s="732"/>
      <c r="I27" s="691"/>
      <c r="J27" s="252">
        <f t="shared" ref="J27:J45" si="5">SUM(B27:I27)</f>
        <v>20</v>
      </c>
      <c r="K27" s="252"/>
      <c r="L27" s="252"/>
      <c r="M27" s="252"/>
      <c r="N27" s="252"/>
      <c r="O27" s="252"/>
      <c r="P27" s="252">
        <f>SUM(J27:O27)</f>
        <v>20</v>
      </c>
      <c r="Q27" s="729"/>
      <c r="R27" s="729">
        <f t="shared" ref="R27:R45" si="6">B27</f>
        <v>0</v>
      </c>
      <c r="S27" s="691"/>
      <c r="T27" s="691"/>
      <c r="U27" s="691"/>
      <c r="V27" s="691"/>
      <c r="W27" s="691"/>
      <c r="X27" s="691"/>
      <c r="Y27" s="691"/>
      <c r="Z27" s="691"/>
      <c r="AA27" s="691"/>
      <c r="AB27" s="691"/>
      <c r="AC27" s="691"/>
      <c r="AD27" s="691"/>
      <c r="AE27" s="691"/>
      <c r="AF27" s="691"/>
      <c r="AG27" s="691"/>
    </row>
    <row r="28" spans="1:34">
      <c r="A28" s="100" t="s">
        <v>354</v>
      </c>
      <c r="B28" s="100">
        <v>14</v>
      </c>
      <c r="C28" s="100"/>
      <c r="D28" s="100"/>
      <c r="E28" s="100"/>
      <c r="F28" s="386"/>
      <c r="G28" s="733"/>
      <c r="H28" s="732"/>
      <c r="I28" s="691"/>
      <c r="J28" s="252">
        <f t="shared" si="5"/>
        <v>14</v>
      </c>
      <c r="K28" s="252"/>
      <c r="L28" s="252"/>
      <c r="M28" s="252"/>
      <c r="N28" s="252"/>
      <c r="O28" s="252"/>
      <c r="P28" s="252">
        <f>SUM(J28:O28)</f>
        <v>14</v>
      </c>
      <c r="Q28" s="729"/>
      <c r="R28" s="729">
        <f t="shared" si="6"/>
        <v>14</v>
      </c>
      <c r="S28" s="691"/>
      <c r="T28" s="691"/>
      <c r="U28" s="691"/>
      <c r="V28" s="691"/>
      <c r="W28" s="691"/>
      <c r="X28" s="691"/>
      <c r="Y28" s="691"/>
      <c r="Z28" s="691"/>
      <c r="AA28" s="691"/>
      <c r="AB28" s="691"/>
      <c r="AC28" s="691"/>
      <c r="AD28" s="691"/>
      <c r="AE28" s="691"/>
      <c r="AF28" s="691"/>
      <c r="AG28" s="691"/>
    </row>
    <row r="29" spans="1:34">
      <c r="A29" s="100" t="s">
        <v>381</v>
      </c>
      <c r="B29" s="100"/>
      <c r="C29" s="100"/>
      <c r="D29" s="100"/>
      <c r="E29" s="100"/>
      <c r="F29" s="386"/>
      <c r="G29" s="391"/>
      <c r="H29" s="386"/>
      <c r="I29" s="386"/>
      <c r="J29" s="252">
        <f t="shared" si="5"/>
        <v>0</v>
      </c>
      <c r="K29" s="252"/>
      <c r="L29" s="252"/>
      <c r="M29" s="252"/>
      <c r="N29" s="252"/>
      <c r="O29" s="252"/>
      <c r="P29" s="252">
        <f t="shared" ref="P29:P120" si="7">SUM(J29:O29)</f>
        <v>0</v>
      </c>
      <c r="Q29" s="729"/>
      <c r="R29" s="729">
        <f t="shared" si="6"/>
        <v>0</v>
      </c>
      <c r="S29" s="691"/>
      <c r="T29" s="691">
        <v>50</v>
      </c>
      <c r="U29" s="691">
        <v>50</v>
      </c>
      <c r="V29" s="691">
        <v>50</v>
      </c>
      <c r="W29" s="691">
        <v>50</v>
      </c>
      <c r="X29" s="691"/>
      <c r="Y29" s="691"/>
      <c r="Z29" s="691"/>
      <c r="AA29" s="691"/>
      <c r="AB29" s="691"/>
      <c r="AC29" s="691"/>
      <c r="AD29" s="691"/>
      <c r="AE29" s="691"/>
      <c r="AF29" s="691"/>
      <c r="AG29" s="691"/>
      <c r="AH29" s="461" t="s">
        <v>369</v>
      </c>
    </row>
    <row r="30" spans="1:34" hidden="1">
      <c r="A30" s="100" t="s">
        <v>159</v>
      </c>
      <c r="B30" s="100"/>
      <c r="C30" s="100"/>
      <c r="D30" s="100"/>
      <c r="E30" s="100"/>
      <c r="F30" s="386"/>
      <c r="G30" s="391"/>
      <c r="H30" s="386"/>
      <c r="I30" s="386"/>
      <c r="J30" s="252">
        <f t="shared" si="5"/>
        <v>0</v>
      </c>
      <c r="K30" s="252"/>
      <c r="L30" s="252"/>
      <c r="M30" s="252"/>
      <c r="N30" s="252"/>
      <c r="O30" s="252"/>
      <c r="P30" s="252"/>
      <c r="Q30" s="729"/>
      <c r="R30" s="729">
        <f t="shared" si="6"/>
        <v>0</v>
      </c>
      <c r="S30" s="691"/>
      <c r="T30" s="691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</row>
    <row r="31" spans="1:34" hidden="1">
      <c r="A31" s="100" t="s">
        <v>160</v>
      </c>
      <c r="B31" s="100"/>
      <c r="C31" s="100"/>
      <c r="D31" s="100"/>
      <c r="E31" s="100"/>
      <c r="F31" s="386"/>
      <c r="G31" s="391"/>
      <c r="H31" s="386"/>
      <c r="I31" s="386"/>
      <c r="J31" s="252">
        <f t="shared" si="5"/>
        <v>0</v>
      </c>
      <c r="K31" s="252"/>
      <c r="L31" s="252"/>
      <c r="M31" s="252"/>
      <c r="N31" s="252"/>
      <c r="O31" s="252"/>
      <c r="P31" s="252"/>
      <c r="Q31" s="729"/>
      <c r="R31" s="729">
        <f t="shared" si="6"/>
        <v>0</v>
      </c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</row>
    <row r="32" spans="1:34" hidden="1">
      <c r="A32" s="100" t="s">
        <v>145</v>
      </c>
      <c r="B32" s="100"/>
      <c r="C32" s="100"/>
      <c r="D32" s="100"/>
      <c r="E32" s="100"/>
      <c r="F32" s="386"/>
      <c r="G32" s="391"/>
      <c r="H32" s="386"/>
      <c r="I32" s="386"/>
      <c r="J32" s="252">
        <f t="shared" si="5"/>
        <v>0</v>
      </c>
      <c r="K32" s="713"/>
      <c r="L32" s="713"/>
      <c r="M32" s="252"/>
      <c r="N32" s="252"/>
      <c r="O32" s="252"/>
      <c r="P32" s="252">
        <f>SUM(J32:O32)</f>
        <v>0</v>
      </c>
      <c r="Q32" s="729"/>
      <c r="R32" s="729">
        <f t="shared" si="6"/>
        <v>0</v>
      </c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1"/>
      <c r="AG32" s="691"/>
    </row>
    <row r="33" spans="1:34" hidden="1">
      <c r="A33" s="100" t="s">
        <v>139</v>
      </c>
      <c r="B33" s="100"/>
      <c r="C33" s="100"/>
      <c r="D33" s="100"/>
      <c r="E33" s="100"/>
      <c r="F33" s="386"/>
      <c r="G33" s="391"/>
      <c r="H33" s="386"/>
      <c r="I33" s="386"/>
      <c r="J33" s="252">
        <f t="shared" si="5"/>
        <v>0</v>
      </c>
      <c r="K33" s="713"/>
      <c r="L33" s="713"/>
      <c r="M33" s="252"/>
      <c r="N33" s="252"/>
      <c r="O33" s="252"/>
      <c r="P33" s="252">
        <f t="shared" si="7"/>
        <v>0</v>
      </c>
      <c r="Q33" s="729"/>
      <c r="R33" s="729">
        <f t="shared" si="6"/>
        <v>0</v>
      </c>
      <c r="S33" s="691"/>
      <c r="T33" s="691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</row>
    <row r="34" spans="1:34" hidden="1">
      <c r="A34" s="100" t="s">
        <v>147</v>
      </c>
      <c r="B34" s="100"/>
      <c r="C34" s="100"/>
      <c r="D34" s="100"/>
      <c r="E34" s="100"/>
      <c r="F34" s="386"/>
      <c r="G34" s="391"/>
      <c r="H34" s="386"/>
      <c r="I34" s="386"/>
      <c r="J34" s="252">
        <f t="shared" si="5"/>
        <v>0</v>
      </c>
      <c r="K34" s="713"/>
      <c r="L34" s="713"/>
      <c r="M34" s="252"/>
      <c r="N34" s="252"/>
      <c r="O34" s="252"/>
      <c r="P34" s="252">
        <f t="shared" si="7"/>
        <v>0</v>
      </c>
      <c r="Q34" s="729"/>
      <c r="R34" s="729">
        <f t="shared" si="6"/>
        <v>0</v>
      </c>
      <c r="S34" s="691"/>
      <c r="T34" s="691"/>
      <c r="U34" s="691"/>
      <c r="V34" s="691"/>
      <c r="W34" s="691"/>
      <c r="X34" s="691"/>
      <c r="Y34" s="691"/>
      <c r="Z34" s="691"/>
      <c r="AA34" s="691"/>
      <c r="AB34" s="691"/>
      <c r="AC34" s="691"/>
      <c r="AD34" s="691"/>
      <c r="AE34" s="691"/>
      <c r="AF34" s="691"/>
      <c r="AG34" s="691"/>
    </row>
    <row r="35" spans="1:34">
      <c r="A35" s="100" t="s">
        <v>380</v>
      </c>
      <c r="B35" s="100"/>
      <c r="C35" s="100"/>
      <c r="D35" s="100"/>
      <c r="E35" s="100"/>
      <c r="F35" s="386"/>
      <c r="G35" s="391"/>
      <c r="H35" s="386"/>
      <c r="I35" s="386"/>
      <c r="J35" s="252">
        <f t="shared" si="5"/>
        <v>0</v>
      </c>
      <c r="K35" s="252"/>
      <c r="L35" s="252"/>
      <c r="M35" s="252"/>
      <c r="N35" s="252"/>
      <c r="O35" s="252"/>
      <c r="P35" s="252">
        <f t="shared" ref="P35" si="8">SUM(J35:O35)</f>
        <v>0</v>
      </c>
      <c r="Q35" s="729"/>
      <c r="R35" s="729">
        <f t="shared" si="6"/>
        <v>0</v>
      </c>
      <c r="S35" s="691"/>
      <c r="T35" s="691">
        <v>50</v>
      </c>
      <c r="U35" s="691">
        <v>50</v>
      </c>
      <c r="V35" s="691">
        <v>50</v>
      </c>
      <c r="W35" s="691">
        <v>50</v>
      </c>
      <c r="X35" s="691"/>
      <c r="Y35" s="691"/>
      <c r="Z35" s="691"/>
      <c r="AA35" s="691"/>
      <c r="AB35" s="691"/>
      <c r="AC35" s="691"/>
      <c r="AD35" s="691"/>
      <c r="AE35" s="691"/>
      <c r="AF35" s="691"/>
      <c r="AG35" s="691"/>
      <c r="AH35" s="461" t="s">
        <v>369</v>
      </c>
    </row>
    <row r="36" spans="1:34">
      <c r="A36" s="100" t="s">
        <v>315</v>
      </c>
      <c r="B36" s="100">
        <v>13</v>
      </c>
      <c r="C36" s="100">
        <v>11</v>
      </c>
      <c r="D36" s="100"/>
      <c r="E36" s="100"/>
      <c r="F36" s="386"/>
      <c r="G36" s="391"/>
      <c r="H36" s="386"/>
      <c r="I36" s="386"/>
      <c r="J36" s="252">
        <f t="shared" si="5"/>
        <v>24</v>
      </c>
      <c r="K36" s="252"/>
      <c r="L36" s="252"/>
      <c r="M36" s="252"/>
      <c r="N36" s="252"/>
      <c r="O36" s="252"/>
      <c r="P36" s="252">
        <f t="shared" ref="P36" si="9">SUM(J36:O36)</f>
        <v>24</v>
      </c>
      <c r="Q36" s="729"/>
      <c r="R36" s="729">
        <f t="shared" si="6"/>
        <v>13</v>
      </c>
      <c r="S36" s="691"/>
      <c r="T36" s="691"/>
      <c r="U36" s="691"/>
      <c r="V36" s="691"/>
      <c r="W36" s="691"/>
      <c r="X36" s="691"/>
      <c r="Y36" s="691"/>
      <c r="Z36" s="691"/>
      <c r="AA36" s="691"/>
      <c r="AB36" s="691"/>
      <c r="AC36" s="691"/>
      <c r="AD36" s="691"/>
      <c r="AE36" s="691"/>
      <c r="AF36" s="691"/>
      <c r="AG36" s="691"/>
    </row>
    <row r="37" spans="1:34">
      <c r="A37" s="100" t="s">
        <v>383</v>
      </c>
      <c r="B37" s="100">
        <v>14</v>
      </c>
      <c r="C37" s="100"/>
      <c r="D37" s="100"/>
      <c r="E37" s="100"/>
      <c r="F37" s="386"/>
      <c r="G37" s="391"/>
      <c r="H37" s="386"/>
      <c r="I37" s="386"/>
      <c r="J37" s="252">
        <f t="shared" si="5"/>
        <v>14</v>
      </c>
      <c r="K37" s="252"/>
      <c r="L37" s="252"/>
      <c r="M37" s="252"/>
      <c r="N37" s="252"/>
      <c r="O37" s="252"/>
      <c r="P37" s="252"/>
      <c r="Q37" s="729"/>
      <c r="R37" s="729">
        <f t="shared" si="6"/>
        <v>14</v>
      </c>
      <c r="S37" s="691">
        <v>40</v>
      </c>
      <c r="T37" s="739">
        <v>0</v>
      </c>
      <c r="U37" s="739">
        <v>0</v>
      </c>
      <c r="V37" s="739">
        <v>0</v>
      </c>
      <c r="W37" s="739">
        <v>0</v>
      </c>
      <c r="X37" s="691"/>
      <c r="Y37" s="739"/>
      <c r="Z37" s="739"/>
      <c r="AA37" s="739"/>
      <c r="AB37" s="739"/>
      <c r="AC37" s="691"/>
      <c r="AD37" s="739"/>
      <c r="AE37" s="739"/>
      <c r="AF37" s="739"/>
      <c r="AG37" s="739"/>
    </row>
    <row r="38" spans="1:34">
      <c r="A38" s="100" t="s">
        <v>382</v>
      </c>
      <c r="B38" s="100">
        <v>14</v>
      </c>
      <c r="C38" s="100"/>
      <c r="D38" s="100"/>
      <c r="E38" s="100"/>
      <c r="F38" s="386"/>
      <c r="G38" s="391"/>
      <c r="H38" s="386"/>
      <c r="I38" s="386"/>
      <c r="J38" s="252"/>
      <c r="K38" s="252"/>
      <c r="L38" s="252"/>
      <c r="M38" s="252"/>
      <c r="N38" s="252"/>
      <c r="O38" s="252"/>
      <c r="P38" s="252"/>
      <c r="Q38" s="729"/>
      <c r="R38" s="729"/>
      <c r="S38" s="691">
        <v>40</v>
      </c>
      <c r="T38" s="739">
        <v>0</v>
      </c>
      <c r="U38" s="739">
        <v>0</v>
      </c>
      <c r="V38" s="739">
        <v>0</v>
      </c>
      <c r="W38" s="739">
        <v>0</v>
      </c>
      <c r="X38" s="691"/>
      <c r="Y38" s="739"/>
      <c r="Z38" s="739"/>
      <c r="AA38" s="739"/>
      <c r="AB38" s="739"/>
      <c r="AC38" s="691"/>
      <c r="AD38" s="739"/>
      <c r="AE38" s="739"/>
      <c r="AF38" s="739"/>
      <c r="AG38" s="739"/>
    </row>
    <row r="39" spans="1:34">
      <c r="A39" s="100" t="s">
        <v>178</v>
      </c>
      <c r="B39" s="100"/>
      <c r="C39" s="100">
        <v>7</v>
      </c>
      <c r="D39" s="100"/>
      <c r="E39" s="100"/>
      <c r="F39" s="386">
        <v>1</v>
      </c>
      <c r="G39" s="391"/>
      <c r="H39" s="386"/>
      <c r="I39" s="386"/>
      <c r="J39" s="252">
        <f t="shared" si="5"/>
        <v>8</v>
      </c>
      <c r="K39" s="252"/>
      <c r="L39" s="252"/>
      <c r="M39" s="252"/>
      <c r="N39" s="252"/>
      <c r="O39" s="252"/>
      <c r="P39" s="252">
        <f t="shared" si="7"/>
        <v>8</v>
      </c>
      <c r="Q39" s="729"/>
      <c r="R39" s="729">
        <f t="shared" si="6"/>
        <v>0</v>
      </c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</row>
    <row r="40" spans="1:34">
      <c r="A40" s="100" t="s">
        <v>179</v>
      </c>
      <c r="B40" s="100">
        <v>14</v>
      </c>
      <c r="C40" s="100">
        <v>21</v>
      </c>
      <c r="D40" s="100">
        <v>5</v>
      </c>
      <c r="E40" s="100">
        <v>3</v>
      </c>
      <c r="F40" s="386">
        <v>1</v>
      </c>
      <c r="G40" s="391"/>
      <c r="H40" s="386"/>
      <c r="I40" s="386"/>
      <c r="J40" s="252">
        <f t="shared" si="5"/>
        <v>44</v>
      </c>
      <c r="K40" s="252"/>
      <c r="L40" s="252"/>
      <c r="M40" s="252"/>
      <c r="N40" s="252"/>
      <c r="O40" s="252"/>
      <c r="P40" s="252">
        <f t="shared" si="7"/>
        <v>44</v>
      </c>
      <c r="Q40" s="729"/>
      <c r="R40" s="729">
        <f t="shared" si="6"/>
        <v>14</v>
      </c>
      <c r="S40" s="691"/>
      <c r="T40" s="691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</row>
    <row r="41" spans="1:34" hidden="1">
      <c r="A41" s="100" t="s">
        <v>252</v>
      </c>
      <c r="B41" s="100"/>
      <c r="C41" s="100"/>
      <c r="D41" s="100"/>
      <c r="E41" s="100"/>
      <c r="F41" s="386"/>
      <c r="G41" s="391"/>
      <c r="H41" s="386"/>
      <c r="I41" s="386"/>
      <c r="J41" s="252">
        <f t="shared" si="5"/>
        <v>0</v>
      </c>
      <c r="K41" s="252"/>
      <c r="L41" s="252"/>
      <c r="M41" s="252"/>
      <c r="N41" s="252"/>
      <c r="O41" s="252"/>
      <c r="P41" s="252">
        <f t="shared" si="7"/>
        <v>0</v>
      </c>
      <c r="Q41" s="729"/>
      <c r="R41" s="729">
        <f t="shared" si="6"/>
        <v>0</v>
      </c>
      <c r="S41" s="691"/>
      <c r="T41" s="691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</row>
    <row r="42" spans="1:34">
      <c r="A42" s="100" t="s">
        <v>384</v>
      </c>
      <c r="B42" s="100">
        <v>13</v>
      </c>
      <c r="C42" s="100">
        <v>11</v>
      </c>
      <c r="D42" s="100"/>
      <c r="E42" s="100"/>
      <c r="F42" s="386"/>
      <c r="G42" s="391"/>
      <c r="H42" s="386"/>
      <c r="I42" s="386"/>
      <c r="J42" s="252"/>
      <c r="K42" s="252"/>
      <c r="L42" s="252"/>
      <c r="M42" s="252"/>
      <c r="N42" s="252"/>
      <c r="O42" s="252"/>
      <c r="P42" s="252"/>
      <c r="Q42" s="729"/>
      <c r="R42" s="729"/>
      <c r="S42" s="691">
        <v>50</v>
      </c>
      <c r="T42" s="691">
        <v>30</v>
      </c>
      <c r="U42" s="739">
        <v>0</v>
      </c>
      <c r="V42" s="739">
        <v>0</v>
      </c>
      <c r="W42" s="739">
        <v>0</v>
      </c>
      <c r="X42" s="691"/>
      <c r="Y42" s="691"/>
      <c r="Z42" s="739"/>
      <c r="AA42" s="739"/>
      <c r="AB42" s="739"/>
      <c r="AC42" s="691"/>
      <c r="AD42" s="691"/>
      <c r="AE42" s="739"/>
      <c r="AF42" s="739"/>
      <c r="AG42" s="739"/>
      <c r="AH42" s="461" t="s">
        <v>369</v>
      </c>
    </row>
    <row r="43" spans="1:34">
      <c r="A43" s="100" t="s">
        <v>385</v>
      </c>
      <c r="B43" s="100"/>
      <c r="C43" s="100"/>
      <c r="D43" s="100"/>
      <c r="E43" s="100"/>
      <c r="F43" s="386"/>
      <c r="G43" s="391"/>
      <c r="H43" s="386"/>
      <c r="I43" s="386"/>
      <c r="J43" s="252">
        <f t="shared" si="5"/>
        <v>0</v>
      </c>
      <c r="K43" s="252"/>
      <c r="L43" s="252"/>
      <c r="M43" s="252"/>
      <c r="N43" s="252"/>
      <c r="O43" s="252"/>
      <c r="P43" s="252">
        <f t="shared" ref="P43" si="10">SUM(J43:O43)</f>
        <v>0</v>
      </c>
      <c r="Q43" s="729"/>
      <c r="R43" s="729">
        <f t="shared" si="6"/>
        <v>0</v>
      </c>
      <c r="S43" s="691"/>
      <c r="T43" s="691"/>
      <c r="U43" s="691">
        <v>30</v>
      </c>
      <c r="V43" s="691">
        <v>30</v>
      </c>
      <c r="W43" s="691">
        <v>30</v>
      </c>
      <c r="X43" s="691"/>
      <c r="Y43" s="691"/>
      <c r="Z43" s="691"/>
      <c r="AA43" s="691"/>
      <c r="AB43" s="691"/>
      <c r="AC43" s="691"/>
      <c r="AD43" s="691"/>
      <c r="AE43" s="691"/>
      <c r="AF43" s="691"/>
      <c r="AG43" s="691"/>
      <c r="AH43" s="461" t="s">
        <v>369</v>
      </c>
    </row>
    <row r="44" spans="1:34">
      <c r="A44" s="100" t="s">
        <v>342</v>
      </c>
      <c r="B44" s="100"/>
      <c r="C44" s="100"/>
      <c r="D44" s="100"/>
      <c r="E44" s="100"/>
      <c r="F44" s="386"/>
      <c r="G44" s="391"/>
      <c r="H44" s="386"/>
      <c r="I44" s="386"/>
      <c r="J44" s="252">
        <f t="shared" si="5"/>
        <v>0</v>
      </c>
      <c r="K44" s="252"/>
      <c r="L44" s="252"/>
      <c r="M44" s="252"/>
      <c r="N44" s="252"/>
      <c r="O44" s="252"/>
      <c r="P44" s="252">
        <f t="shared" si="7"/>
        <v>0</v>
      </c>
      <c r="Q44" s="729"/>
      <c r="R44" s="729">
        <f t="shared" si="6"/>
        <v>0</v>
      </c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</row>
    <row r="45" spans="1:34">
      <c r="A45" s="259" t="s">
        <v>298</v>
      </c>
      <c r="B45" s="259"/>
      <c r="C45" s="259"/>
      <c r="D45" s="259"/>
      <c r="E45" s="259">
        <v>3</v>
      </c>
      <c r="F45" s="385"/>
      <c r="G45" s="694"/>
      <c r="H45" s="385"/>
      <c r="I45" s="385"/>
      <c r="J45" s="254">
        <f t="shared" si="5"/>
        <v>3</v>
      </c>
      <c r="K45" s="712"/>
      <c r="L45" s="712"/>
      <c r="M45" s="254"/>
      <c r="N45" s="254"/>
      <c r="O45" s="254"/>
      <c r="P45" s="254">
        <f t="shared" si="7"/>
        <v>3</v>
      </c>
      <c r="R45" s="421">
        <f t="shared" si="6"/>
        <v>0</v>
      </c>
      <c r="S45" s="484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</row>
    <row r="46" spans="1:34">
      <c r="A46" s="681" t="s">
        <v>396</v>
      </c>
      <c r="B46" s="259"/>
      <c r="C46" s="259"/>
      <c r="D46" s="259"/>
      <c r="E46" s="259"/>
      <c r="F46" s="385"/>
      <c r="G46" s="694"/>
      <c r="H46" s="385"/>
      <c r="I46" s="385"/>
      <c r="J46" s="254"/>
      <c r="K46" s="712"/>
      <c r="L46" s="712"/>
      <c r="M46" s="254"/>
      <c r="N46" s="254"/>
      <c r="O46" s="254"/>
      <c r="P46" s="25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</row>
    <row r="47" spans="1:34">
      <c r="A47" s="259"/>
      <c r="B47" s="259"/>
      <c r="C47" s="259"/>
      <c r="D47" s="259"/>
      <c r="E47" s="259"/>
      <c r="F47" s="385"/>
      <c r="G47" s="694"/>
      <c r="H47" s="385"/>
      <c r="I47" s="385"/>
      <c r="J47" s="254"/>
      <c r="K47" s="712"/>
      <c r="L47" s="712"/>
      <c r="M47" s="254"/>
      <c r="N47" s="254"/>
      <c r="O47" s="254"/>
      <c r="P47" s="254"/>
      <c r="S47" s="48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</row>
    <row r="48" spans="1:34">
      <c r="A48" s="259"/>
      <c r="B48" s="259"/>
      <c r="C48" s="259"/>
      <c r="D48" s="259"/>
      <c r="E48" s="259"/>
      <c r="F48" s="385"/>
      <c r="G48" s="694"/>
      <c r="H48" s="385"/>
      <c r="I48" s="385"/>
      <c r="J48" s="254"/>
      <c r="K48" s="712"/>
      <c r="L48" s="712"/>
      <c r="M48" s="254"/>
      <c r="N48" s="254"/>
      <c r="O48" s="254"/>
      <c r="P48" s="254"/>
      <c r="S48" s="484"/>
      <c r="T48" s="484"/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4"/>
      <c r="AF48" s="484"/>
      <c r="AG48" s="484"/>
    </row>
    <row r="49" spans="1:34">
      <c r="A49" s="259"/>
      <c r="B49" s="259"/>
      <c r="C49" s="259"/>
      <c r="D49" s="259"/>
      <c r="E49" s="259"/>
      <c r="F49" s="385"/>
      <c r="G49" s="694"/>
      <c r="H49" s="385"/>
      <c r="I49" s="385"/>
      <c r="J49" s="254"/>
      <c r="K49" s="712"/>
      <c r="L49" s="712"/>
      <c r="M49" s="254"/>
      <c r="N49" s="254"/>
      <c r="O49" s="254"/>
      <c r="P49" s="25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84"/>
    </row>
    <row r="50" spans="1:34">
      <c r="A50" s="259"/>
      <c r="B50" s="259"/>
      <c r="C50" s="259"/>
      <c r="D50" s="259"/>
      <c r="E50" s="259"/>
      <c r="F50" s="385"/>
      <c r="G50" s="694"/>
      <c r="H50" s="385"/>
      <c r="I50" s="385"/>
      <c r="J50" s="254"/>
      <c r="K50" s="712"/>
      <c r="L50" s="712"/>
      <c r="M50" s="254"/>
      <c r="N50" s="254"/>
      <c r="O50" s="254"/>
      <c r="P50" s="254"/>
      <c r="S50" s="484"/>
      <c r="T50" s="484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84"/>
    </row>
    <row r="51" spans="1:34">
      <c r="A51" s="259"/>
      <c r="B51" s="259"/>
      <c r="C51" s="259"/>
      <c r="D51" s="259"/>
      <c r="E51" s="259"/>
      <c r="F51" s="385"/>
      <c r="G51" s="694"/>
      <c r="H51" s="385"/>
      <c r="I51" s="385"/>
      <c r="J51" s="254"/>
      <c r="K51" s="712"/>
      <c r="L51" s="712"/>
      <c r="M51" s="254"/>
      <c r="N51" s="254"/>
      <c r="O51" s="254"/>
      <c r="P51" s="25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</row>
    <row r="52" spans="1:34">
      <c r="A52" s="259"/>
      <c r="B52" s="259"/>
      <c r="C52" s="259"/>
      <c r="D52" s="259"/>
      <c r="E52" s="259"/>
      <c r="F52" s="385"/>
      <c r="G52" s="694"/>
      <c r="H52" s="385"/>
      <c r="I52" s="385"/>
      <c r="J52" s="254"/>
      <c r="K52" s="712"/>
      <c r="L52" s="712"/>
      <c r="M52" s="254"/>
      <c r="N52" s="254"/>
      <c r="O52" s="254"/>
      <c r="P52" s="254"/>
      <c r="S52" s="484"/>
      <c r="T52" s="484"/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84"/>
    </row>
    <row r="53" spans="1:34">
      <c r="A53" s="259"/>
      <c r="B53" s="259"/>
      <c r="C53" s="259"/>
      <c r="D53" s="259"/>
      <c r="E53" s="259"/>
      <c r="F53" s="385"/>
      <c r="G53" s="694"/>
      <c r="H53" s="385"/>
      <c r="I53" s="385"/>
      <c r="J53" s="254"/>
      <c r="K53" s="712"/>
      <c r="L53" s="712"/>
      <c r="M53" s="254"/>
      <c r="N53" s="254"/>
      <c r="O53" s="254"/>
      <c r="P53" s="25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</row>
    <row r="54" spans="1:34">
      <c r="A54" s="95" t="s">
        <v>3</v>
      </c>
      <c r="B54" s="392">
        <f t="shared" ref="B54:J54" si="11">SUM(B27:B45)</f>
        <v>82</v>
      </c>
      <c r="C54" s="392">
        <f t="shared" si="11"/>
        <v>50</v>
      </c>
      <c r="D54" s="392">
        <f t="shared" si="11"/>
        <v>5</v>
      </c>
      <c r="E54" s="392">
        <f t="shared" si="11"/>
        <v>23</v>
      </c>
      <c r="F54" s="392">
        <f t="shared" si="11"/>
        <v>5</v>
      </c>
      <c r="G54" s="392">
        <f t="shared" si="11"/>
        <v>0</v>
      </c>
      <c r="H54" s="392">
        <f t="shared" si="11"/>
        <v>0</v>
      </c>
      <c r="I54" s="392">
        <f t="shared" si="11"/>
        <v>0</v>
      </c>
      <c r="J54" s="106">
        <f t="shared" si="11"/>
        <v>127</v>
      </c>
      <c r="K54" s="106">
        <f>SUM(K29:K30)</f>
        <v>0</v>
      </c>
      <c r="L54" s="106">
        <f>SUM(L29:L30)</f>
        <v>0</v>
      </c>
      <c r="M54" s="106">
        <f>SUM(M29:M30)</f>
        <v>0</v>
      </c>
      <c r="N54" s="106">
        <f>SUM(N29:N30)</f>
        <v>0</v>
      </c>
      <c r="O54" s="106">
        <f>SUM(O29:O30)</f>
        <v>0</v>
      </c>
      <c r="P54" s="715">
        <f t="shared" si="7"/>
        <v>127</v>
      </c>
      <c r="Q54" s="106">
        <f>138+24+17</f>
        <v>179</v>
      </c>
      <c r="R54" s="106">
        <f t="shared" ref="R54:AG54" si="12">SUM(R27:R45)</f>
        <v>55</v>
      </c>
      <c r="S54" s="106">
        <f>SUM(S27:S45)</f>
        <v>130</v>
      </c>
      <c r="T54" s="106">
        <f t="shared" si="12"/>
        <v>130</v>
      </c>
      <c r="U54" s="106">
        <f t="shared" si="12"/>
        <v>130</v>
      </c>
      <c r="V54" s="106">
        <f t="shared" si="12"/>
        <v>130</v>
      </c>
      <c r="W54" s="106">
        <f t="shared" si="12"/>
        <v>130</v>
      </c>
      <c r="X54" s="106">
        <f t="shared" si="12"/>
        <v>0</v>
      </c>
      <c r="Y54" s="106">
        <f t="shared" si="12"/>
        <v>0</v>
      </c>
      <c r="Z54" s="106">
        <f t="shared" si="12"/>
        <v>0</v>
      </c>
      <c r="AA54" s="106">
        <f t="shared" si="12"/>
        <v>0</v>
      </c>
      <c r="AB54" s="106">
        <f t="shared" si="12"/>
        <v>0</v>
      </c>
      <c r="AC54" s="106">
        <f t="shared" si="12"/>
        <v>0</v>
      </c>
      <c r="AD54" s="106">
        <f t="shared" si="12"/>
        <v>0</v>
      </c>
      <c r="AE54" s="106">
        <f t="shared" si="12"/>
        <v>0</v>
      </c>
      <c r="AF54" s="106">
        <f t="shared" si="12"/>
        <v>0</v>
      </c>
      <c r="AG54" s="106">
        <f t="shared" si="12"/>
        <v>0</v>
      </c>
    </row>
    <row r="55" spans="1:34">
      <c r="A55" s="101" t="s">
        <v>11</v>
      </c>
      <c r="B55" s="101"/>
      <c r="C55" s="101"/>
      <c r="D55" s="101"/>
      <c r="E55" s="101"/>
      <c r="F55" s="118"/>
      <c r="G55" s="118"/>
      <c r="H55" s="118"/>
      <c r="I55" s="118"/>
      <c r="J55" s="174"/>
      <c r="K55" s="174"/>
      <c r="L55" s="174"/>
      <c r="M55" s="174"/>
      <c r="N55" s="174"/>
      <c r="O55" s="174"/>
      <c r="P55" s="174">
        <f>SUM(J55:O55)</f>
        <v>0</v>
      </c>
      <c r="Q55" s="491"/>
      <c r="R55" s="491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</row>
    <row r="56" spans="1:34">
      <c r="A56" s="398" t="s">
        <v>90</v>
      </c>
      <c r="B56" s="398"/>
      <c r="C56" s="398"/>
      <c r="D56" s="398">
        <v>15</v>
      </c>
      <c r="E56" s="398">
        <v>15</v>
      </c>
      <c r="F56" s="383">
        <v>5</v>
      </c>
      <c r="G56" s="383"/>
      <c r="H56" s="383"/>
      <c r="I56" s="383"/>
      <c r="J56" s="662">
        <f>SUM(B56:I56)</f>
        <v>35</v>
      </c>
      <c r="K56" s="662"/>
      <c r="L56" s="662"/>
      <c r="M56" s="662"/>
      <c r="N56" s="734">
        <v>26</v>
      </c>
      <c r="O56" s="734"/>
      <c r="P56" s="662">
        <f>SUM(J56:O56)</f>
        <v>61</v>
      </c>
      <c r="Q56" s="701"/>
      <c r="R56" s="701">
        <f>B56</f>
        <v>0</v>
      </c>
      <c r="S56" s="735"/>
      <c r="T56" s="735"/>
      <c r="U56" s="735"/>
      <c r="V56" s="735"/>
      <c r="W56" s="735"/>
      <c r="X56" s="735"/>
      <c r="Y56" s="735"/>
      <c r="Z56" s="735"/>
      <c r="AA56" s="735"/>
      <c r="AB56" s="735"/>
      <c r="AC56" s="735"/>
      <c r="AD56" s="735"/>
      <c r="AE56" s="735"/>
      <c r="AF56" s="735"/>
      <c r="AG56" s="735"/>
    </row>
    <row r="57" spans="1:34" hidden="1">
      <c r="A57" s="100" t="s">
        <v>91</v>
      </c>
      <c r="B57" s="100"/>
      <c r="C57" s="100"/>
      <c r="D57" s="100"/>
      <c r="E57" s="100"/>
      <c r="F57" s="386"/>
      <c r="G57" s="386"/>
      <c r="H57" s="386"/>
      <c r="I57" s="386"/>
      <c r="J57" s="252">
        <f>SUM(C57:I57)</f>
        <v>0</v>
      </c>
      <c r="K57" s="252"/>
      <c r="L57" s="252"/>
      <c r="M57" s="252"/>
      <c r="N57" s="713">
        <v>12</v>
      </c>
      <c r="O57" s="252"/>
      <c r="P57" s="252">
        <f>SUM(J57:O57)</f>
        <v>12</v>
      </c>
      <c r="Q57" s="614"/>
      <c r="R57" s="614"/>
      <c r="S57" s="691"/>
      <c r="T57" s="691"/>
      <c r="U57" s="691"/>
      <c r="V57" s="691"/>
      <c r="W57" s="691"/>
      <c r="X57" s="691"/>
      <c r="Y57" s="691"/>
      <c r="Z57" s="691"/>
      <c r="AA57" s="691"/>
      <c r="AB57" s="691"/>
      <c r="AC57" s="691"/>
      <c r="AD57" s="691"/>
      <c r="AE57" s="691"/>
      <c r="AF57" s="691"/>
      <c r="AG57" s="691"/>
    </row>
    <row r="58" spans="1:34">
      <c r="A58" s="681" t="s">
        <v>396</v>
      </c>
      <c r="B58" s="100"/>
      <c r="C58" s="100"/>
      <c r="D58" s="100"/>
      <c r="E58" s="100"/>
      <c r="F58" s="386"/>
      <c r="G58" s="386"/>
      <c r="H58" s="386"/>
      <c r="I58" s="386"/>
      <c r="J58" s="252"/>
      <c r="K58" s="252"/>
      <c r="L58" s="252"/>
      <c r="M58" s="252"/>
      <c r="N58" s="713"/>
      <c r="O58" s="252"/>
      <c r="P58" s="252"/>
      <c r="Q58" s="614"/>
      <c r="R58" s="614"/>
      <c r="S58" s="691"/>
      <c r="T58" s="691"/>
      <c r="U58" s="691"/>
      <c r="V58" s="691"/>
      <c r="W58" s="691"/>
      <c r="X58" s="691"/>
      <c r="Y58" s="691"/>
      <c r="Z58" s="691"/>
      <c r="AA58" s="691"/>
      <c r="AB58" s="691"/>
      <c r="AC58" s="691"/>
      <c r="AD58" s="691"/>
      <c r="AE58" s="691"/>
      <c r="AF58" s="691"/>
      <c r="AG58" s="691"/>
    </row>
    <row r="59" spans="1:34">
      <c r="A59" s="100"/>
      <c r="B59" s="100"/>
      <c r="C59" s="100"/>
      <c r="D59" s="100"/>
      <c r="E59" s="100"/>
      <c r="F59" s="386"/>
      <c r="G59" s="386"/>
      <c r="H59" s="386"/>
      <c r="I59" s="386"/>
      <c r="J59" s="252"/>
      <c r="K59" s="252"/>
      <c r="L59" s="252"/>
      <c r="M59" s="252"/>
      <c r="N59" s="713"/>
      <c r="O59" s="252"/>
      <c r="P59" s="252"/>
      <c r="Q59" s="614"/>
      <c r="R59" s="614"/>
      <c r="S59" s="691"/>
      <c r="T59" s="691"/>
      <c r="U59" s="691"/>
      <c r="V59" s="691"/>
      <c r="W59" s="691"/>
      <c r="X59" s="691"/>
      <c r="Y59" s="691"/>
      <c r="Z59" s="691"/>
      <c r="AA59" s="691"/>
      <c r="AB59" s="691"/>
      <c r="AC59" s="691"/>
      <c r="AD59" s="691"/>
      <c r="AE59" s="691"/>
      <c r="AF59" s="691"/>
      <c r="AG59" s="691"/>
    </row>
    <row r="60" spans="1:34">
      <c r="A60" s="100"/>
      <c r="B60" s="100"/>
      <c r="C60" s="100"/>
      <c r="D60" s="100"/>
      <c r="E60" s="100"/>
      <c r="F60" s="386"/>
      <c r="G60" s="386"/>
      <c r="H60" s="386"/>
      <c r="I60" s="386"/>
      <c r="J60" s="252"/>
      <c r="K60" s="252"/>
      <c r="L60" s="252"/>
      <c r="M60" s="252"/>
      <c r="N60" s="713"/>
      <c r="O60" s="252"/>
      <c r="P60" s="252"/>
      <c r="Q60" s="614"/>
      <c r="R60" s="614"/>
      <c r="S60" s="691"/>
      <c r="T60" s="691"/>
      <c r="U60" s="691"/>
      <c r="V60" s="691"/>
      <c r="W60" s="691"/>
      <c r="X60" s="691"/>
      <c r="Y60" s="691"/>
      <c r="Z60" s="691"/>
      <c r="AA60" s="691"/>
      <c r="AB60" s="691"/>
      <c r="AC60" s="691"/>
      <c r="AD60" s="691"/>
      <c r="AE60" s="691"/>
      <c r="AF60" s="691"/>
      <c r="AG60" s="691"/>
    </row>
    <row r="61" spans="1:34">
      <c r="A61" s="100"/>
      <c r="B61" s="100"/>
      <c r="C61" s="100"/>
      <c r="D61" s="100"/>
      <c r="E61" s="100"/>
      <c r="F61" s="386"/>
      <c r="G61" s="386"/>
      <c r="H61" s="386"/>
      <c r="I61" s="386"/>
      <c r="J61" s="252"/>
      <c r="K61" s="252"/>
      <c r="L61" s="252"/>
      <c r="M61" s="252"/>
      <c r="N61" s="713"/>
      <c r="O61" s="252"/>
      <c r="P61" s="252"/>
      <c r="Q61" s="614"/>
      <c r="R61" s="614"/>
      <c r="S61" s="691"/>
      <c r="T61" s="691"/>
      <c r="U61" s="691"/>
      <c r="V61" s="691"/>
      <c r="W61" s="691"/>
      <c r="X61" s="691"/>
      <c r="Y61" s="691"/>
      <c r="Z61" s="691"/>
      <c r="AA61" s="691"/>
      <c r="AB61" s="691"/>
      <c r="AC61" s="691"/>
      <c r="AD61" s="691"/>
      <c r="AE61" s="691"/>
      <c r="AF61" s="691"/>
      <c r="AG61" s="691"/>
    </row>
    <row r="62" spans="1:34">
      <c r="A62" s="401"/>
      <c r="B62" s="401"/>
      <c r="C62" s="401"/>
      <c r="D62" s="401"/>
      <c r="E62" s="401"/>
      <c r="F62" s="676"/>
      <c r="G62" s="676"/>
      <c r="H62" s="676"/>
      <c r="I62" s="676"/>
      <c r="J62" s="668"/>
      <c r="K62" s="668"/>
      <c r="L62" s="668"/>
      <c r="M62" s="668"/>
      <c r="N62" s="768"/>
      <c r="O62" s="668"/>
      <c r="P62" s="668"/>
      <c r="Q62" s="737"/>
      <c r="R62" s="737"/>
      <c r="S62" s="754"/>
      <c r="T62" s="754"/>
      <c r="U62" s="754"/>
      <c r="V62" s="754"/>
      <c r="W62" s="754"/>
      <c r="X62" s="754"/>
      <c r="Y62" s="754"/>
      <c r="Z62" s="754"/>
      <c r="AA62" s="754"/>
      <c r="AB62" s="754"/>
      <c r="AC62" s="754"/>
      <c r="AD62" s="754"/>
      <c r="AE62" s="754"/>
      <c r="AF62" s="754"/>
      <c r="AG62" s="754"/>
    </row>
    <row r="63" spans="1:34">
      <c r="A63" s="95" t="s">
        <v>3</v>
      </c>
      <c r="B63" s="392">
        <f t="shared" ref="B63:O63" si="13">SUM(B56:B57)</f>
        <v>0</v>
      </c>
      <c r="C63" s="392">
        <f t="shared" si="13"/>
        <v>0</v>
      </c>
      <c r="D63" s="392">
        <f t="shared" si="13"/>
        <v>15</v>
      </c>
      <c r="E63" s="392">
        <f t="shared" si="13"/>
        <v>15</v>
      </c>
      <c r="F63" s="392">
        <f t="shared" si="13"/>
        <v>5</v>
      </c>
      <c r="G63" s="392">
        <f t="shared" si="13"/>
        <v>0</v>
      </c>
      <c r="H63" s="392">
        <f t="shared" si="13"/>
        <v>0</v>
      </c>
      <c r="I63" s="392">
        <f t="shared" si="13"/>
        <v>0</v>
      </c>
      <c r="J63" s="106">
        <f t="shared" si="13"/>
        <v>35</v>
      </c>
      <c r="K63" s="106">
        <f t="shared" si="13"/>
        <v>0</v>
      </c>
      <c r="L63" s="106">
        <f t="shared" si="13"/>
        <v>0</v>
      </c>
      <c r="M63" s="106">
        <f t="shared" si="13"/>
        <v>0</v>
      </c>
      <c r="N63" s="106">
        <f t="shared" si="13"/>
        <v>38</v>
      </c>
      <c r="O63" s="106">
        <f t="shared" si="13"/>
        <v>0</v>
      </c>
      <c r="P63" s="715">
        <f>SUM(J63:O63)</f>
        <v>73</v>
      </c>
      <c r="Q63" s="491"/>
      <c r="R63" s="106">
        <f t="shared" ref="R63:AG63" si="14">SUM(R56:R57)</f>
        <v>0</v>
      </c>
      <c r="S63" s="106">
        <f t="shared" si="14"/>
        <v>0</v>
      </c>
      <c r="T63" s="106">
        <f t="shared" si="14"/>
        <v>0</v>
      </c>
      <c r="U63" s="106">
        <f t="shared" si="14"/>
        <v>0</v>
      </c>
      <c r="V63" s="106">
        <f t="shared" si="14"/>
        <v>0</v>
      </c>
      <c r="W63" s="106">
        <f t="shared" si="14"/>
        <v>0</v>
      </c>
      <c r="X63" s="106">
        <f t="shared" si="14"/>
        <v>0</v>
      </c>
      <c r="Y63" s="106">
        <f t="shared" si="14"/>
        <v>0</v>
      </c>
      <c r="Z63" s="106">
        <f t="shared" si="14"/>
        <v>0</v>
      </c>
      <c r="AA63" s="106">
        <f t="shared" si="14"/>
        <v>0</v>
      </c>
      <c r="AB63" s="106">
        <f t="shared" si="14"/>
        <v>0</v>
      </c>
      <c r="AC63" s="106">
        <f t="shared" si="14"/>
        <v>0</v>
      </c>
      <c r="AD63" s="106">
        <f t="shared" si="14"/>
        <v>0</v>
      </c>
      <c r="AE63" s="106">
        <f t="shared" si="14"/>
        <v>0</v>
      </c>
      <c r="AF63" s="106">
        <f t="shared" si="14"/>
        <v>0</v>
      </c>
      <c r="AG63" s="106">
        <f t="shared" si="14"/>
        <v>0</v>
      </c>
    </row>
    <row r="64" spans="1:34">
      <c r="A64" s="101" t="s">
        <v>16</v>
      </c>
      <c r="B64" s="101"/>
      <c r="C64" s="101"/>
      <c r="D64" s="101"/>
      <c r="E64" s="101"/>
      <c r="F64" s="118"/>
      <c r="G64" s="118"/>
      <c r="H64" s="118"/>
      <c r="I64" s="118"/>
      <c r="J64" s="174"/>
      <c r="K64" s="174"/>
      <c r="L64" s="174"/>
      <c r="M64" s="174"/>
      <c r="N64" s="174"/>
      <c r="O64" s="174"/>
      <c r="P64" s="174">
        <f t="shared" si="7"/>
        <v>0</v>
      </c>
      <c r="Q64" s="491"/>
      <c r="R64" s="491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461" t="s">
        <v>364</v>
      </c>
    </row>
    <row r="65" spans="1:34">
      <c r="A65" s="398" t="s">
        <v>17</v>
      </c>
      <c r="B65" s="398"/>
      <c r="C65" s="398"/>
      <c r="D65" s="398"/>
      <c r="E65" s="398"/>
      <c r="F65" s="383">
        <v>2</v>
      </c>
      <c r="G65" s="383"/>
      <c r="H65" s="383"/>
      <c r="I65" s="383"/>
      <c r="J65" s="662">
        <f>SUM(B65:I65)</f>
        <v>2</v>
      </c>
      <c r="K65" s="662"/>
      <c r="L65" s="662"/>
      <c r="M65" s="662"/>
      <c r="N65" s="734">
        <v>26</v>
      </c>
      <c r="O65" s="734"/>
      <c r="P65" s="662">
        <f t="shared" si="7"/>
        <v>28</v>
      </c>
      <c r="Q65" s="701"/>
      <c r="R65" s="701">
        <f>B65</f>
        <v>0</v>
      </c>
      <c r="S65" s="735"/>
      <c r="T65" s="735"/>
      <c r="U65" s="735"/>
      <c r="V65" s="735"/>
      <c r="W65" s="735"/>
      <c r="X65" s="735"/>
      <c r="Y65" s="735"/>
      <c r="Z65" s="735"/>
      <c r="AA65" s="735"/>
      <c r="AB65" s="735"/>
      <c r="AC65" s="735"/>
      <c r="AD65" s="735"/>
      <c r="AE65" s="735"/>
      <c r="AF65" s="735"/>
      <c r="AG65" s="735"/>
    </row>
    <row r="66" spans="1:34">
      <c r="A66" s="100" t="s">
        <v>367</v>
      </c>
      <c r="B66" s="100"/>
      <c r="C66" s="100"/>
      <c r="D66" s="100"/>
      <c r="E66" s="100"/>
      <c r="F66" s="386"/>
      <c r="G66" s="386"/>
      <c r="H66" s="386"/>
      <c r="I66" s="386"/>
      <c r="J66" s="252">
        <v>0</v>
      </c>
      <c r="K66" s="252"/>
      <c r="L66" s="252"/>
      <c r="M66" s="252"/>
      <c r="N66" s="713"/>
      <c r="O66" s="713"/>
      <c r="P66" s="252"/>
      <c r="Q66" s="614"/>
      <c r="R66" s="614">
        <v>0</v>
      </c>
      <c r="S66" s="691">
        <v>30</v>
      </c>
      <c r="T66" s="691">
        <v>30</v>
      </c>
      <c r="U66" s="691">
        <v>30</v>
      </c>
      <c r="V66" s="691">
        <v>30</v>
      </c>
      <c r="W66" s="691">
        <v>30</v>
      </c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</row>
    <row r="67" spans="1:34">
      <c r="A67" s="100" t="s">
        <v>368</v>
      </c>
      <c r="B67" s="100"/>
      <c r="C67" s="100"/>
      <c r="D67" s="100"/>
      <c r="E67" s="100"/>
      <c r="F67" s="386"/>
      <c r="G67" s="386"/>
      <c r="H67" s="386"/>
      <c r="I67" s="386"/>
      <c r="J67" s="252">
        <v>0</v>
      </c>
      <c r="K67" s="252"/>
      <c r="L67" s="252"/>
      <c r="M67" s="252"/>
      <c r="N67" s="713"/>
      <c r="O67" s="713"/>
      <c r="P67" s="252"/>
      <c r="Q67" s="614"/>
      <c r="R67" s="614">
        <v>0</v>
      </c>
      <c r="S67" s="691">
        <v>30</v>
      </c>
      <c r="T67" s="691">
        <v>30</v>
      </c>
      <c r="U67" s="691">
        <v>30</v>
      </c>
      <c r="V67" s="691">
        <v>30</v>
      </c>
      <c r="W67" s="691">
        <v>30</v>
      </c>
      <c r="X67" s="691"/>
      <c r="Y67" s="691"/>
      <c r="Z67" s="691"/>
      <c r="AA67" s="691"/>
      <c r="AB67" s="691"/>
      <c r="AC67" s="691"/>
      <c r="AD67" s="691"/>
      <c r="AE67" s="691"/>
      <c r="AF67" s="691"/>
      <c r="AG67" s="691"/>
    </row>
    <row r="68" spans="1:34">
      <c r="A68" s="681" t="s">
        <v>396</v>
      </c>
      <c r="B68" s="100"/>
      <c r="C68" s="100"/>
      <c r="D68" s="100"/>
      <c r="E68" s="100"/>
      <c r="F68" s="386"/>
      <c r="G68" s="386"/>
      <c r="H68" s="386"/>
      <c r="I68" s="386"/>
      <c r="J68" s="252"/>
      <c r="K68" s="252"/>
      <c r="L68" s="252"/>
      <c r="M68" s="252"/>
      <c r="N68" s="713"/>
      <c r="O68" s="713"/>
      <c r="P68" s="252"/>
      <c r="Q68" s="614"/>
      <c r="R68" s="614"/>
      <c r="S68" s="691"/>
      <c r="T68" s="691"/>
      <c r="U68" s="691"/>
      <c r="V68" s="691"/>
      <c r="W68" s="691"/>
      <c r="X68" s="691"/>
      <c r="Y68" s="691"/>
      <c r="Z68" s="691"/>
      <c r="AA68" s="691"/>
      <c r="AB68" s="691"/>
      <c r="AC68" s="691"/>
      <c r="AD68" s="691"/>
      <c r="AE68" s="691"/>
      <c r="AF68" s="691"/>
      <c r="AG68" s="691"/>
    </row>
    <row r="69" spans="1:34">
      <c r="A69" s="100"/>
      <c r="B69" s="100"/>
      <c r="C69" s="100"/>
      <c r="D69" s="100"/>
      <c r="E69" s="100"/>
      <c r="F69" s="386"/>
      <c r="G69" s="386"/>
      <c r="H69" s="386"/>
      <c r="I69" s="386"/>
      <c r="J69" s="252"/>
      <c r="K69" s="252"/>
      <c r="L69" s="252"/>
      <c r="M69" s="252"/>
      <c r="N69" s="713"/>
      <c r="O69" s="713"/>
      <c r="P69" s="252"/>
      <c r="Q69" s="614"/>
      <c r="R69" s="614"/>
      <c r="S69" s="691"/>
      <c r="T69" s="691"/>
      <c r="U69" s="691"/>
      <c r="V69" s="691"/>
      <c r="W69" s="691"/>
      <c r="X69" s="691"/>
      <c r="Y69" s="691"/>
      <c r="Z69" s="691"/>
      <c r="AA69" s="691"/>
      <c r="AB69" s="691"/>
      <c r="AC69" s="691"/>
      <c r="AD69" s="691"/>
      <c r="AE69" s="691"/>
      <c r="AF69" s="691"/>
      <c r="AG69" s="691"/>
    </row>
    <row r="70" spans="1:34">
      <c r="A70" s="100"/>
      <c r="B70" s="100"/>
      <c r="C70" s="100"/>
      <c r="D70" s="100"/>
      <c r="E70" s="100"/>
      <c r="F70" s="386"/>
      <c r="G70" s="386"/>
      <c r="H70" s="386"/>
      <c r="I70" s="386"/>
      <c r="J70" s="252"/>
      <c r="K70" s="252"/>
      <c r="L70" s="252"/>
      <c r="M70" s="252"/>
      <c r="N70" s="713"/>
      <c r="O70" s="713"/>
      <c r="P70" s="252"/>
      <c r="Q70" s="614"/>
      <c r="R70" s="614"/>
      <c r="S70" s="691"/>
      <c r="T70" s="691"/>
      <c r="U70" s="691"/>
      <c r="V70" s="691"/>
      <c r="W70" s="691"/>
      <c r="X70" s="691"/>
      <c r="Y70" s="691"/>
      <c r="Z70" s="691"/>
      <c r="AA70" s="691"/>
      <c r="AB70" s="691"/>
      <c r="AC70" s="691"/>
      <c r="AD70" s="691"/>
      <c r="AE70" s="691"/>
      <c r="AF70" s="691"/>
      <c r="AG70" s="691"/>
    </row>
    <row r="71" spans="1:34">
      <c r="A71" s="100"/>
      <c r="B71" s="100"/>
      <c r="C71" s="100"/>
      <c r="D71" s="100"/>
      <c r="E71" s="100"/>
      <c r="F71" s="386"/>
      <c r="G71" s="386"/>
      <c r="H71" s="386"/>
      <c r="I71" s="386"/>
      <c r="J71" s="252"/>
      <c r="K71" s="252"/>
      <c r="L71" s="252"/>
      <c r="M71" s="252"/>
      <c r="N71" s="713"/>
      <c r="O71" s="713"/>
      <c r="P71" s="252"/>
      <c r="Q71" s="614"/>
      <c r="R71" s="614"/>
      <c r="S71" s="691"/>
      <c r="T71" s="691"/>
      <c r="U71" s="691"/>
      <c r="V71" s="691"/>
      <c r="W71" s="691"/>
      <c r="X71" s="691"/>
      <c r="Y71" s="691"/>
      <c r="Z71" s="691"/>
      <c r="AA71" s="691"/>
      <c r="AB71" s="691"/>
      <c r="AC71" s="691"/>
      <c r="AD71" s="691"/>
      <c r="AE71" s="691"/>
      <c r="AF71" s="691"/>
      <c r="AG71" s="691"/>
    </row>
    <row r="72" spans="1:34">
      <c r="A72" s="100"/>
      <c r="B72" s="100"/>
      <c r="C72" s="100"/>
      <c r="D72" s="100"/>
      <c r="E72" s="100"/>
      <c r="F72" s="386"/>
      <c r="G72" s="386"/>
      <c r="H72" s="386"/>
      <c r="I72" s="386"/>
      <c r="J72" s="252"/>
      <c r="K72" s="252"/>
      <c r="L72" s="252"/>
      <c r="M72" s="252"/>
      <c r="N72" s="713"/>
      <c r="O72" s="713"/>
      <c r="P72" s="252"/>
      <c r="Q72" s="614"/>
      <c r="R72" s="614"/>
      <c r="S72" s="691"/>
      <c r="T72" s="691"/>
      <c r="U72" s="691"/>
      <c r="V72" s="691"/>
      <c r="W72" s="691"/>
      <c r="X72" s="691"/>
      <c r="Y72" s="691"/>
      <c r="Z72" s="691"/>
      <c r="AA72" s="691"/>
      <c r="AB72" s="691"/>
      <c r="AC72" s="691"/>
      <c r="AD72" s="691"/>
      <c r="AE72" s="691"/>
      <c r="AF72" s="691"/>
      <c r="AG72" s="691"/>
    </row>
    <row r="73" spans="1:34">
      <c r="A73" s="100"/>
      <c r="B73" s="100"/>
      <c r="C73" s="100"/>
      <c r="D73" s="100"/>
      <c r="E73" s="100"/>
      <c r="F73" s="386"/>
      <c r="G73" s="386"/>
      <c r="H73" s="386"/>
      <c r="I73" s="386"/>
      <c r="J73" s="252"/>
      <c r="K73" s="252"/>
      <c r="L73" s="252"/>
      <c r="M73" s="252"/>
      <c r="N73" s="713"/>
      <c r="O73" s="713"/>
      <c r="P73" s="252"/>
      <c r="Q73" s="614"/>
      <c r="R73" s="614"/>
      <c r="S73" s="691"/>
      <c r="T73" s="691"/>
      <c r="U73" s="691"/>
      <c r="V73" s="691"/>
      <c r="W73" s="691"/>
      <c r="X73" s="691"/>
      <c r="Y73" s="691"/>
      <c r="Z73" s="691"/>
      <c r="AA73" s="691"/>
      <c r="AB73" s="691"/>
      <c r="AC73" s="691"/>
      <c r="AD73" s="691"/>
      <c r="AE73" s="691"/>
      <c r="AF73" s="691"/>
      <c r="AG73" s="691"/>
    </row>
    <row r="74" spans="1:34">
      <c r="A74" s="401"/>
      <c r="B74" s="401"/>
      <c r="C74" s="401"/>
      <c r="D74" s="401"/>
      <c r="E74" s="401"/>
      <c r="F74" s="676"/>
      <c r="G74" s="676"/>
      <c r="H74" s="676"/>
      <c r="I74" s="676"/>
      <c r="J74" s="668"/>
      <c r="K74" s="668"/>
      <c r="L74" s="668"/>
      <c r="M74" s="668"/>
      <c r="N74" s="768"/>
      <c r="O74" s="668"/>
      <c r="P74" s="668"/>
      <c r="Q74" s="737"/>
      <c r="R74" s="737"/>
      <c r="S74" s="754"/>
      <c r="T74" s="754"/>
      <c r="U74" s="754"/>
      <c r="V74" s="754"/>
      <c r="W74" s="754"/>
      <c r="X74" s="754"/>
      <c r="Y74" s="754"/>
      <c r="Z74" s="754"/>
      <c r="AA74" s="754"/>
      <c r="AB74" s="754"/>
      <c r="AC74" s="754"/>
      <c r="AD74" s="754"/>
      <c r="AE74" s="754"/>
      <c r="AF74" s="754"/>
      <c r="AG74" s="754"/>
    </row>
    <row r="75" spans="1:34">
      <c r="A75" s="95" t="s">
        <v>3</v>
      </c>
      <c r="B75" s="392">
        <f t="shared" ref="B75:O75" si="15">SUM(B65:B74)</f>
        <v>0</v>
      </c>
      <c r="C75" s="392">
        <f t="shared" si="15"/>
        <v>0</v>
      </c>
      <c r="D75" s="392">
        <f t="shared" si="15"/>
        <v>0</v>
      </c>
      <c r="E75" s="392">
        <f t="shared" si="15"/>
        <v>0</v>
      </c>
      <c r="F75" s="392">
        <f t="shared" si="15"/>
        <v>2</v>
      </c>
      <c r="G75" s="392">
        <f t="shared" si="15"/>
        <v>0</v>
      </c>
      <c r="H75" s="392">
        <f t="shared" si="15"/>
        <v>0</v>
      </c>
      <c r="I75" s="392">
        <f t="shared" si="15"/>
        <v>0</v>
      </c>
      <c r="J75" s="106">
        <f>SUM(J65:J74)</f>
        <v>2</v>
      </c>
      <c r="K75" s="106">
        <f t="shared" si="15"/>
        <v>0</v>
      </c>
      <c r="L75" s="106">
        <f t="shared" si="15"/>
        <v>0</v>
      </c>
      <c r="M75" s="106">
        <f t="shared" si="15"/>
        <v>0</v>
      </c>
      <c r="N75" s="106">
        <f t="shared" si="15"/>
        <v>26</v>
      </c>
      <c r="O75" s="106">
        <f t="shared" si="15"/>
        <v>0</v>
      </c>
      <c r="P75" s="715">
        <f t="shared" si="7"/>
        <v>28</v>
      </c>
      <c r="Q75" s="491"/>
      <c r="R75" s="106">
        <f>SUM(R65:R74)</f>
        <v>0</v>
      </c>
      <c r="S75" s="106">
        <f t="shared" ref="S75:AG75" si="16">SUM(S65:S74)</f>
        <v>60</v>
      </c>
      <c r="T75" s="106">
        <f t="shared" si="16"/>
        <v>60</v>
      </c>
      <c r="U75" s="106">
        <f t="shared" si="16"/>
        <v>60</v>
      </c>
      <c r="V75" s="106">
        <f t="shared" si="16"/>
        <v>60</v>
      </c>
      <c r="W75" s="106">
        <f t="shared" si="16"/>
        <v>60</v>
      </c>
      <c r="X75" s="106">
        <f t="shared" si="16"/>
        <v>0</v>
      </c>
      <c r="Y75" s="106">
        <f t="shared" si="16"/>
        <v>0</v>
      </c>
      <c r="Z75" s="106">
        <f t="shared" si="16"/>
        <v>0</v>
      </c>
      <c r="AA75" s="106">
        <f t="shared" si="16"/>
        <v>0</v>
      </c>
      <c r="AB75" s="106">
        <f t="shared" si="16"/>
        <v>0</v>
      </c>
      <c r="AC75" s="106">
        <f t="shared" si="16"/>
        <v>0</v>
      </c>
      <c r="AD75" s="106">
        <f t="shared" si="16"/>
        <v>0</v>
      </c>
      <c r="AE75" s="106">
        <f t="shared" si="16"/>
        <v>0</v>
      </c>
      <c r="AF75" s="106">
        <f t="shared" si="16"/>
        <v>0</v>
      </c>
      <c r="AG75" s="106">
        <f t="shared" si="16"/>
        <v>0</v>
      </c>
    </row>
    <row r="76" spans="1:34">
      <c r="A76" s="101" t="s">
        <v>19</v>
      </c>
      <c r="B76" s="101"/>
      <c r="C76" s="101"/>
      <c r="D76" s="101"/>
      <c r="E76" s="101"/>
      <c r="F76" s="118"/>
      <c r="G76" s="118"/>
      <c r="H76" s="118"/>
      <c r="I76" s="118"/>
      <c r="J76" s="174"/>
      <c r="K76" s="174"/>
      <c r="L76" s="174"/>
      <c r="M76" s="174"/>
      <c r="N76" s="174"/>
      <c r="O76" s="174"/>
      <c r="P76" s="174">
        <f t="shared" si="7"/>
        <v>0</v>
      </c>
      <c r="Q76" s="491"/>
      <c r="R76" s="491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</row>
    <row r="77" spans="1:34" hidden="1">
      <c r="A77" s="259" t="s">
        <v>20</v>
      </c>
      <c r="B77" s="259"/>
      <c r="C77" s="259"/>
      <c r="D77" s="259"/>
      <c r="E77" s="259"/>
      <c r="F77" s="385"/>
      <c r="G77" s="385"/>
      <c r="H77" s="385"/>
      <c r="I77" s="385"/>
      <c r="J77" s="254"/>
      <c r="K77" s="254"/>
      <c r="L77" s="254"/>
      <c r="M77" s="254"/>
      <c r="N77" s="254"/>
      <c r="O77" s="254"/>
      <c r="P77" s="254">
        <f t="shared" si="7"/>
        <v>0</v>
      </c>
      <c r="S77" s="484"/>
      <c r="T77" s="484"/>
      <c r="U77" s="484"/>
      <c r="V77" s="484"/>
      <c r="W77" s="484"/>
      <c r="X77" s="484"/>
      <c r="Y77" s="484"/>
      <c r="Z77" s="484"/>
      <c r="AA77" s="484"/>
      <c r="AB77" s="484"/>
      <c r="AC77" s="484"/>
      <c r="AD77" s="484"/>
      <c r="AE77" s="484"/>
      <c r="AF77" s="484"/>
      <c r="AG77" s="484"/>
    </row>
    <row r="78" spans="1:34">
      <c r="A78" s="398" t="s">
        <v>4</v>
      </c>
      <c r="B78" s="398">
        <v>31</v>
      </c>
      <c r="C78" s="398">
        <v>30</v>
      </c>
      <c r="D78" s="398">
        <v>26</v>
      </c>
      <c r="E78" s="398">
        <v>21</v>
      </c>
      <c r="F78" s="383">
        <f>19+7</f>
        <v>26</v>
      </c>
      <c r="G78" s="383"/>
      <c r="H78" s="383"/>
      <c r="I78" s="383"/>
      <c r="J78" s="662">
        <f>SUM(B78:I78)</f>
        <v>134</v>
      </c>
      <c r="K78" s="662"/>
      <c r="L78" s="734">
        <v>28</v>
      </c>
      <c r="M78" s="662"/>
      <c r="N78" s="662"/>
      <c r="O78" s="662"/>
      <c r="P78" s="662">
        <f t="shared" si="7"/>
        <v>162</v>
      </c>
      <c r="Q78" s="701"/>
      <c r="R78" s="701">
        <f t="shared" ref="R78:R88" si="17">B78</f>
        <v>31</v>
      </c>
      <c r="S78" s="735">
        <v>45</v>
      </c>
      <c r="T78" s="735">
        <v>45</v>
      </c>
      <c r="U78" s="735">
        <v>45</v>
      </c>
      <c r="V78" s="735">
        <v>45</v>
      </c>
      <c r="W78" s="735">
        <v>45</v>
      </c>
      <c r="X78" s="735"/>
      <c r="Y78" s="735"/>
      <c r="Z78" s="735"/>
      <c r="AA78" s="735"/>
      <c r="AB78" s="735"/>
      <c r="AC78" s="735"/>
      <c r="AD78" s="735"/>
      <c r="AE78" s="735"/>
      <c r="AF78" s="735"/>
      <c r="AG78" s="735"/>
      <c r="AH78" s="461" t="s">
        <v>364</v>
      </c>
    </row>
    <row r="79" spans="1:34" hidden="1">
      <c r="A79" s="100" t="s">
        <v>21</v>
      </c>
      <c r="B79" s="100"/>
      <c r="C79" s="100"/>
      <c r="D79" s="100"/>
      <c r="E79" s="100"/>
      <c r="F79" s="386"/>
      <c r="G79" s="386"/>
      <c r="H79" s="386"/>
      <c r="I79" s="386"/>
      <c r="J79" s="252"/>
      <c r="K79" s="252"/>
      <c r="L79" s="252"/>
      <c r="M79" s="252"/>
      <c r="N79" s="252"/>
      <c r="O79" s="252"/>
      <c r="P79" s="252">
        <f t="shared" si="7"/>
        <v>0</v>
      </c>
      <c r="Q79" s="614"/>
      <c r="R79" s="614">
        <f t="shared" si="17"/>
        <v>0</v>
      </c>
      <c r="S79" s="691"/>
      <c r="T79" s="691"/>
      <c r="U79" s="691"/>
      <c r="V79" s="691"/>
      <c r="W79" s="691"/>
      <c r="X79" s="691"/>
      <c r="Y79" s="691"/>
      <c r="Z79" s="691"/>
      <c r="AA79" s="691"/>
      <c r="AB79" s="691"/>
      <c r="AC79" s="691"/>
      <c r="AD79" s="691"/>
      <c r="AE79" s="691"/>
      <c r="AF79" s="691"/>
      <c r="AG79" s="691"/>
    </row>
    <row r="80" spans="1:34">
      <c r="A80" s="100" t="s">
        <v>76</v>
      </c>
      <c r="B80" s="100">
        <v>18</v>
      </c>
      <c r="C80" s="100">
        <v>25</v>
      </c>
      <c r="D80" s="100">
        <v>23</v>
      </c>
      <c r="E80" s="100">
        <v>24</v>
      </c>
      <c r="F80" s="386">
        <v>1</v>
      </c>
      <c r="G80" s="386"/>
      <c r="H80" s="386"/>
      <c r="I80" s="386"/>
      <c r="J80" s="252">
        <f>SUM(B80:I80)</f>
        <v>91</v>
      </c>
      <c r="K80" s="252"/>
      <c r="L80" s="713">
        <v>28</v>
      </c>
      <c r="M80" s="252"/>
      <c r="N80" s="252"/>
      <c r="O80" s="252"/>
      <c r="P80" s="252">
        <f>SUM(J80:O80)</f>
        <v>119</v>
      </c>
      <c r="Q80" s="614"/>
      <c r="R80" s="614">
        <f t="shared" si="17"/>
        <v>18</v>
      </c>
      <c r="S80" s="691">
        <v>50</v>
      </c>
      <c r="T80" s="691">
        <v>50</v>
      </c>
      <c r="U80" s="691">
        <v>50</v>
      </c>
      <c r="V80" s="691">
        <v>50</v>
      </c>
      <c r="W80" s="691">
        <v>50</v>
      </c>
      <c r="X80" s="691"/>
      <c r="Y80" s="691"/>
      <c r="Z80" s="691"/>
      <c r="AA80" s="691"/>
      <c r="AB80" s="691"/>
      <c r="AC80" s="691"/>
      <c r="AD80" s="691"/>
      <c r="AE80" s="691"/>
      <c r="AF80" s="691"/>
      <c r="AG80" s="691"/>
    </row>
    <row r="81" spans="1:34" hidden="1">
      <c r="A81" s="100" t="s">
        <v>24</v>
      </c>
      <c r="B81" s="100"/>
      <c r="C81" s="100"/>
      <c r="D81" s="100"/>
      <c r="E81" s="100"/>
      <c r="F81" s="386"/>
      <c r="G81" s="386"/>
      <c r="H81" s="386"/>
      <c r="I81" s="386"/>
      <c r="J81" s="252">
        <f>SUM(B81:I81)</f>
        <v>0</v>
      </c>
      <c r="K81" s="252"/>
      <c r="L81" s="713">
        <v>28</v>
      </c>
      <c r="M81" s="252"/>
      <c r="N81" s="252"/>
      <c r="O81" s="252"/>
      <c r="P81" s="252">
        <f>SUM(J81:O81)</f>
        <v>28</v>
      </c>
      <c r="Q81" s="614"/>
      <c r="R81" s="614">
        <f t="shared" si="17"/>
        <v>0</v>
      </c>
      <c r="S81" s="691"/>
      <c r="T81" s="691"/>
      <c r="U81" s="691"/>
      <c r="V81" s="691"/>
      <c r="W81" s="691"/>
      <c r="X81" s="691"/>
      <c r="Y81" s="691"/>
      <c r="Z81" s="691"/>
      <c r="AA81" s="691"/>
      <c r="AB81" s="691"/>
      <c r="AC81" s="691"/>
      <c r="AD81" s="691"/>
      <c r="AE81" s="691"/>
      <c r="AF81" s="691"/>
      <c r="AG81" s="691"/>
    </row>
    <row r="82" spans="1:34">
      <c r="A82" s="100" t="s">
        <v>122</v>
      </c>
      <c r="B82" s="100">
        <v>15</v>
      </c>
      <c r="C82" s="100">
        <v>17</v>
      </c>
      <c r="D82" s="100">
        <v>14</v>
      </c>
      <c r="E82" s="100"/>
      <c r="F82" s="386">
        <v>7</v>
      </c>
      <c r="G82" s="386"/>
      <c r="H82" s="386"/>
      <c r="I82" s="386"/>
      <c r="J82" s="252">
        <f>SUM(B82:I82)</f>
        <v>53</v>
      </c>
      <c r="K82" s="713"/>
      <c r="L82" s="713"/>
      <c r="M82" s="252"/>
      <c r="N82" s="252"/>
      <c r="O82" s="252"/>
      <c r="P82" s="252">
        <f>SUM(J82:O82)</f>
        <v>53</v>
      </c>
      <c r="Q82" s="614" t="s">
        <v>41</v>
      </c>
      <c r="R82" s="614">
        <f t="shared" si="17"/>
        <v>15</v>
      </c>
      <c r="S82" s="691">
        <v>20</v>
      </c>
      <c r="T82" s="691">
        <v>20</v>
      </c>
      <c r="U82" s="691">
        <v>20</v>
      </c>
      <c r="V82" s="691">
        <v>20</v>
      </c>
      <c r="W82" s="691">
        <v>20</v>
      </c>
      <c r="X82" s="691"/>
      <c r="Y82" s="691"/>
      <c r="Z82" s="691"/>
      <c r="AA82" s="691"/>
      <c r="AB82" s="691"/>
      <c r="AC82" s="691"/>
      <c r="AD82" s="691"/>
      <c r="AE82" s="691"/>
      <c r="AF82" s="691"/>
      <c r="AG82" s="691"/>
    </row>
    <row r="83" spans="1:34">
      <c r="A83" s="100" t="s">
        <v>168</v>
      </c>
      <c r="B83" s="100">
        <v>42</v>
      </c>
      <c r="C83" s="100"/>
      <c r="D83" s="100">
        <v>21</v>
      </c>
      <c r="E83" s="100">
        <v>20</v>
      </c>
      <c r="F83" s="386">
        <v>7</v>
      </c>
      <c r="G83" s="386"/>
      <c r="H83" s="386"/>
      <c r="I83" s="386"/>
      <c r="J83" s="252">
        <f>SUM(B83:I83)</f>
        <v>90</v>
      </c>
      <c r="K83" s="713">
        <v>21</v>
      </c>
      <c r="L83" s="713">
        <v>18</v>
      </c>
      <c r="M83" s="252">
        <v>1</v>
      </c>
      <c r="N83" s="252">
        <v>2</v>
      </c>
      <c r="O83" s="252"/>
      <c r="P83" s="252">
        <f t="shared" si="7"/>
        <v>132</v>
      </c>
      <c r="Q83" s="614" t="s">
        <v>41</v>
      </c>
      <c r="R83" s="614">
        <f t="shared" si="17"/>
        <v>42</v>
      </c>
      <c r="S83" s="691">
        <v>40</v>
      </c>
      <c r="T83" s="691">
        <v>40</v>
      </c>
      <c r="U83" s="691">
        <v>40</v>
      </c>
      <c r="V83" s="691">
        <v>40</v>
      </c>
      <c r="W83" s="691">
        <v>40</v>
      </c>
      <c r="X83" s="691"/>
      <c r="Y83" s="691"/>
      <c r="Z83" s="691"/>
      <c r="AA83" s="691"/>
      <c r="AB83" s="691"/>
      <c r="AC83" s="691"/>
      <c r="AD83" s="691"/>
      <c r="AE83" s="691"/>
      <c r="AF83" s="691"/>
      <c r="AG83" s="691"/>
    </row>
    <row r="84" spans="1:34" hidden="1">
      <c r="A84" s="100" t="s">
        <v>23</v>
      </c>
      <c r="B84" s="100"/>
      <c r="C84" s="100"/>
      <c r="D84" s="100"/>
      <c r="E84" s="100"/>
      <c r="F84" s="386"/>
      <c r="G84" s="386"/>
      <c r="H84" s="386"/>
      <c r="I84" s="386"/>
      <c r="J84" s="252">
        <f>SUM(C84:G84)</f>
        <v>0</v>
      </c>
      <c r="K84" s="252"/>
      <c r="L84" s="252"/>
      <c r="M84" s="252"/>
      <c r="N84" s="252"/>
      <c r="O84" s="252"/>
      <c r="P84" s="252">
        <f t="shared" si="7"/>
        <v>0</v>
      </c>
      <c r="Q84" s="614"/>
      <c r="R84" s="614">
        <f t="shared" si="17"/>
        <v>0</v>
      </c>
      <c r="S84" s="691"/>
      <c r="T84" s="691"/>
      <c r="U84" s="691"/>
      <c r="V84" s="691"/>
      <c r="W84" s="691"/>
      <c r="X84" s="691"/>
      <c r="Y84" s="691"/>
      <c r="Z84" s="691"/>
      <c r="AA84" s="691"/>
      <c r="AB84" s="691"/>
      <c r="AC84" s="691"/>
      <c r="AD84" s="691"/>
      <c r="AE84" s="691"/>
      <c r="AF84" s="691"/>
      <c r="AG84" s="691"/>
    </row>
    <row r="85" spans="1:34" hidden="1">
      <c r="A85" s="100" t="s">
        <v>24</v>
      </c>
      <c r="B85" s="100"/>
      <c r="C85" s="100"/>
      <c r="D85" s="100"/>
      <c r="E85" s="100"/>
      <c r="F85" s="386"/>
      <c r="G85" s="386"/>
      <c r="H85" s="386"/>
      <c r="I85" s="386"/>
      <c r="J85" s="252">
        <f>SUM(C85:G85)</f>
        <v>0</v>
      </c>
      <c r="K85" s="252"/>
      <c r="L85" s="252"/>
      <c r="M85" s="713">
        <v>12</v>
      </c>
      <c r="N85" s="252"/>
      <c r="O85" s="252"/>
      <c r="P85" s="252">
        <f t="shared" si="7"/>
        <v>12</v>
      </c>
      <c r="Q85" s="614"/>
      <c r="R85" s="614">
        <f t="shared" si="17"/>
        <v>0</v>
      </c>
      <c r="S85" s="691"/>
      <c r="T85" s="691"/>
      <c r="U85" s="691"/>
      <c r="V85" s="691"/>
      <c r="W85" s="691"/>
      <c r="X85" s="691"/>
      <c r="Y85" s="691"/>
      <c r="Z85" s="691"/>
      <c r="AA85" s="691"/>
      <c r="AB85" s="691"/>
      <c r="AC85" s="691"/>
      <c r="AD85" s="691"/>
      <c r="AE85" s="691"/>
      <c r="AF85" s="691"/>
      <c r="AG85" s="691"/>
    </row>
    <row r="86" spans="1:34" hidden="1">
      <c r="A86" s="100" t="s">
        <v>110</v>
      </c>
      <c r="B86" s="100"/>
      <c r="C86" s="100"/>
      <c r="D86" s="100"/>
      <c r="E86" s="100"/>
      <c r="F86" s="386"/>
      <c r="G86" s="386"/>
      <c r="H86" s="386"/>
      <c r="I86" s="386"/>
      <c r="J86" s="252">
        <f>SUM(C86:G86)</f>
        <v>0</v>
      </c>
      <c r="K86" s="718">
        <v>162</v>
      </c>
      <c r="L86" s="252"/>
      <c r="M86" s="252">
        <v>97</v>
      </c>
      <c r="N86" s="252"/>
      <c r="O86" s="252"/>
      <c r="P86" s="252">
        <f t="shared" si="7"/>
        <v>259</v>
      </c>
      <c r="Q86" s="614"/>
      <c r="R86" s="614">
        <f t="shared" si="17"/>
        <v>0</v>
      </c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</row>
    <row r="87" spans="1:34" hidden="1">
      <c r="A87" s="100" t="s">
        <v>144</v>
      </c>
      <c r="B87" s="100"/>
      <c r="C87" s="100"/>
      <c r="D87" s="100"/>
      <c r="E87" s="100"/>
      <c r="F87" s="386"/>
      <c r="G87" s="386"/>
      <c r="H87" s="386"/>
      <c r="I87" s="386"/>
      <c r="J87" s="252">
        <f>SUM(C87:I87)</f>
        <v>0</v>
      </c>
      <c r="K87" s="713">
        <v>69</v>
      </c>
      <c r="L87" s="713"/>
      <c r="M87" s="713"/>
      <c r="N87" s="713"/>
      <c r="O87" s="713"/>
      <c r="P87" s="252">
        <f t="shared" si="7"/>
        <v>69</v>
      </c>
      <c r="Q87" s="614"/>
      <c r="R87" s="614">
        <f t="shared" si="17"/>
        <v>0</v>
      </c>
      <c r="S87" s="691"/>
      <c r="T87" s="691"/>
      <c r="U87" s="691"/>
      <c r="V87" s="691"/>
      <c r="W87" s="691"/>
      <c r="X87" s="691"/>
      <c r="Y87" s="691"/>
      <c r="Z87" s="691"/>
      <c r="AA87" s="691"/>
      <c r="AB87" s="691"/>
      <c r="AC87" s="691"/>
      <c r="AD87" s="691"/>
      <c r="AE87" s="691"/>
      <c r="AF87" s="691"/>
      <c r="AG87" s="691"/>
    </row>
    <row r="88" spans="1:34">
      <c r="A88" s="100" t="s">
        <v>25</v>
      </c>
      <c r="B88" s="100"/>
      <c r="C88" s="100">
        <v>48</v>
      </c>
      <c r="D88" s="100">
        <v>41</v>
      </c>
      <c r="E88" s="100">
        <v>17</v>
      </c>
      <c r="F88" s="386">
        <v>16</v>
      </c>
      <c r="G88" s="386"/>
      <c r="H88" s="386"/>
      <c r="I88" s="386"/>
      <c r="J88" s="252">
        <f>SUM(B88:I88)</f>
        <v>122</v>
      </c>
      <c r="K88" s="713">
        <v>35</v>
      </c>
      <c r="L88" s="713">
        <v>98</v>
      </c>
      <c r="M88" s="713">
        <v>34</v>
      </c>
      <c r="N88" s="713">
        <v>14</v>
      </c>
      <c r="O88" s="713"/>
      <c r="P88" s="252">
        <f t="shared" si="7"/>
        <v>303</v>
      </c>
      <c r="Q88" s="614"/>
      <c r="R88" s="614">
        <f t="shared" si="17"/>
        <v>0</v>
      </c>
      <c r="S88" s="691">
        <v>60</v>
      </c>
      <c r="T88" s="739">
        <v>0</v>
      </c>
      <c r="U88" s="739">
        <v>0</v>
      </c>
      <c r="V88" s="739">
        <v>0</v>
      </c>
      <c r="W88" s="739">
        <v>0</v>
      </c>
      <c r="X88" s="691"/>
      <c r="Y88" s="739"/>
      <c r="Z88" s="739"/>
      <c r="AA88" s="739"/>
      <c r="AB88" s="739"/>
      <c r="AC88" s="691"/>
      <c r="AD88" s="739"/>
      <c r="AE88" s="739"/>
      <c r="AF88" s="739"/>
      <c r="AG88" s="739"/>
    </row>
    <row r="89" spans="1:34">
      <c r="A89" s="681" t="s">
        <v>396</v>
      </c>
      <c r="B89" s="100"/>
      <c r="C89" s="100"/>
      <c r="D89" s="100"/>
      <c r="E89" s="100"/>
      <c r="F89" s="386"/>
      <c r="G89" s="386"/>
      <c r="H89" s="386"/>
      <c r="I89" s="386"/>
      <c r="J89" s="252"/>
      <c r="K89" s="713"/>
      <c r="L89" s="713"/>
      <c r="M89" s="713"/>
      <c r="N89" s="713"/>
      <c r="O89" s="713"/>
      <c r="P89" s="252"/>
      <c r="Q89" s="614"/>
      <c r="R89" s="614"/>
      <c r="S89" s="691"/>
      <c r="T89" s="739"/>
      <c r="U89" s="739"/>
      <c r="V89" s="739"/>
      <c r="W89" s="739"/>
      <c r="X89" s="691"/>
      <c r="Y89" s="739"/>
      <c r="Z89" s="739"/>
      <c r="AA89" s="739"/>
      <c r="AB89" s="739"/>
      <c r="AC89" s="691"/>
      <c r="AD89" s="739"/>
      <c r="AE89" s="739"/>
      <c r="AF89" s="739"/>
      <c r="AG89" s="739"/>
    </row>
    <row r="90" spans="1:34">
      <c r="A90" s="100"/>
      <c r="B90" s="100"/>
      <c r="C90" s="100"/>
      <c r="D90" s="100"/>
      <c r="E90" s="100"/>
      <c r="F90" s="386"/>
      <c r="G90" s="386"/>
      <c r="H90" s="386"/>
      <c r="I90" s="386"/>
      <c r="J90" s="252"/>
      <c r="K90" s="713"/>
      <c r="L90" s="713"/>
      <c r="M90" s="713"/>
      <c r="N90" s="713"/>
      <c r="O90" s="713"/>
      <c r="P90" s="252"/>
      <c r="Q90" s="614"/>
      <c r="R90" s="614"/>
      <c r="S90" s="691"/>
      <c r="T90" s="739"/>
      <c r="U90" s="739"/>
      <c r="V90" s="739"/>
      <c r="W90" s="739"/>
      <c r="X90" s="691"/>
      <c r="Y90" s="739"/>
      <c r="Z90" s="739"/>
      <c r="AA90" s="739"/>
      <c r="AB90" s="739"/>
      <c r="AC90" s="691"/>
      <c r="AD90" s="739"/>
      <c r="AE90" s="739"/>
      <c r="AF90" s="739"/>
      <c r="AG90" s="739"/>
    </row>
    <row r="91" spans="1:34">
      <c r="A91" s="100"/>
      <c r="B91" s="100"/>
      <c r="C91" s="100"/>
      <c r="D91" s="100"/>
      <c r="E91" s="100"/>
      <c r="F91" s="386"/>
      <c r="G91" s="386"/>
      <c r="H91" s="386"/>
      <c r="I91" s="386"/>
      <c r="J91" s="252"/>
      <c r="K91" s="713"/>
      <c r="L91" s="713"/>
      <c r="M91" s="713"/>
      <c r="N91" s="713"/>
      <c r="O91" s="713"/>
      <c r="P91" s="252"/>
      <c r="Q91" s="614"/>
      <c r="R91" s="614"/>
      <c r="S91" s="691"/>
      <c r="T91" s="739"/>
      <c r="U91" s="739"/>
      <c r="V91" s="739"/>
      <c r="W91" s="739"/>
      <c r="X91" s="691"/>
      <c r="Y91" s="739"/>
      <c r="Z91" s="739"/>
      <c r="AA91" s="739"/>
      <c r="AB91" s="739"/>
      <c r="AC91" s="691"/>
      <c r="AD91" s="739"/>
      <c r="AE91" s="739"/>
      <c r="AF91" s="739"/>
      <c r="AG91" s="739"/>
    </row>
    <row r="92" spans="1:34">
      <c r="A92" s="401"/>
      <c r="B92" s="401"/>
      <c r="C92" s="401"/>
      <c r="D92" s="401"/>
      <c r="E92" s="401"/>
      <c r="F92" s="676"/>
      <c r="G92" s="676"/>
      <c r="H92" s="676"/>
      <c r="I92" s="676"/>
      <c r="J92" s="668"/>
      <c r="K92" s="768"/>
      <c r="L92" s="768"/>
      <c r="M92" s="768"/>
      <c r="N92" s="768"/>
      <c r="O92" s="768"/>
      <c r="P92" s="668"/>
      <c r="Q92" s="737"/>
      <c r="R92" s="737"/>
      <c r="S92" s="754"/>
      <c r="T92" s="769"/>
      <c r="U92" s="769"/>
      <c r="V92" s="769"/>
      <c r="W92" s="769"/>
      <c r="X92" s="754"/>
      <c r="Y92" s="769"/>
      <c r="Z92" s="769"/>
      <c r="AA92" s="769"/>
      <c r="AB92" s="769"/>
      <c r="AC92" s="754"/>
      <c r="AD92" s="769"/>
      <c r="AE92" s="769"/>
      <c r="AF92" s="769"/>
      <c r="AG92" s="769"/>
    </row>
    <row r="93" spans="1:34">
      <c r="A93" s="95" t="s">
        <v>3</v>
      </c>
      <c r="B93" s="392">
        <f>SUM(B77:B88)</f>
        <v>106</v>
      </c>
      <c r="C93" s="392">
        <f>SUM(C77:C88)</f>
        <v>120</v>
      </c>
      <c r="D93" s="392">
        <f t="shared" ref="D93:O93" si="18">SUM(D77:D88)</f>
        <v>125</v>
      </c>
      <c r="E93" s="392">
        <f t="shared" si="18"/>
        <v>82</v>
      </c>
      <c r="F93" s="392">
        <f t="shared" si="18"/>
        <v>57</v>
      </c>
      <c r="G93" s="392">
        <f t="shared" si="18"/>
        <v>0</v>
      </c>
      <c r="H93" s="392">
        <f t="shared" si="18"/>
        <v>0</v>
      </c>
      <c r="I93" s="392">
        <f t="shared" si="18"/>
        <v>0</v>
      </c>
      <c r="J93" s="106">
        <f>SUM(J77:J88)</f>
        <v>490</v>
      </c>
      <c r="K93" s="106">
        <f t="shared" si="18"/>
        <v>287</v>
      </c>
      <c r="L93" s="106">
        <f t="shared" si="18"/>
        <v>200</v>
      </c>
      <c r="M93" s="106">
        <f t="shared" si="18"/>
        <v>144</v>
      </c>
      <c r="N93" s="106">
        <f t="shared" si="18"/>
        <v>16</v>
      </c>
      <c r="O93" s="106">
        <f t="shared" si="18"/>
        <v>0</v>
      </c>
      <c r="P93" s="715">
        <f t="shared" si="7"/>
        <v>1137</v>
      </c>
      <c r="Q93" s="106">
        <f>26+48+23+18+56+38</f>
        <v>209</v>
      </c>
      <c r="R93" s="106">
        <f>SUM(R77:R88)</f>
        <v>106</v>
      </c>
      <c r="S93" s="106">
        <f t="shared" ref="S93:AG93" si="19">SUM(S77:S88)</f>
        <v>215</v>
      </c>
      <c r="T93" s="106">
        <f t="shared" si="19"/>
        <v>155</v>
      </c>
      <c r="U93" s="106">
        <f t="shared" si="19"/>
        <v>155</v>
      </c>
      <c r="V93" s="106">
        <f t="shared" si="19"/>
        <v>155</v>
      </c>
      <c r="W93" s="106">
        <f t="shared" si="19"/>
        <v>155</v>
      </c>
      <c r="X93" s="106">
        <f t="shared" si="19"/>
        <v>0</v>
      </c>
      <c r="Y93" s="106">
        <f t="shared" si="19"/>
        <v>0</v>
      </c>
      <c r="Z93" s="106">
        <f t="shared" si="19"/>
        <v>0</v>
      </c>
      <c r="AA93" s="106">
        <f t="shared" si="19"/>
        <v>0</v>
      </c>
      <c r="AB93" s="106">
        <f t="shared" si="19"/>
        <v>0</v>
      </c>
      <c r="AC93" s="106">
        <f t="shared" si="19"/>
        <v>0</v>
      </c>
      <c r="AD93" s="106">
        <f t="shared" si="19"/>
        <v>0</v>
      </c>
      <c r="AE93" s="106">
        <f t="shared" si="19"/>
        <v>0</v>
      </c>
      <c r="AF93" s="106">
        <f t="shared" si="19"/>
        <v>0</v>
      </c>
      <c r="AG93" s="106">
        <f t="shared" si="19"/>
        <v>0</v>
      </c>
    </row>
    <row r="94" spans="1:34">
      <c r="A94" s="396" t="s">
        <v>26</v>
      </c>
      <c r="B94" s="404"/>
      <c r="C94" s="404"/>
      <c r="D94" s="404"/>
      <c r="E94" s="404"/>
      <c r="F94" s="385"/>
      <c r="G94" s="385"/>
      <c r="H94" s="385"/>
      <c r="I94" s="385"/>
      <c r="J94" s="254"/>
      <c r="K94" s="254"/>
      <c r="L94" s="254"/>
      <c r="M94" s="254"/>
      <c r="N94" s="254"/>
      <c r="O94" s="254"/>
      <c r="P94" s="254">
        <f t="shared" si="7"/>
        <v>0</v>
      </c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</row>
    <row r="95" spans="1:34">
      <c r="A95" s="398" t="s">
        <v>123</v>
      </c>
      <c r="B95" s="398">
        <v>42</v>
      </c>
      <c r="C95" s="398">
        <v>87</v>
      </c>
      <c r="D95" s="398">
        <v>55</v>
      </c>
      <c r="E95" s="398">
        <v>79</v>
      </c>
      <c r="F95" s="383">
        <v>18</v>
      </c>
      <c r="G95" s="383"/>
      <c r="H95" s="383"/>
      <c r="I95" s="383"/>
      <c r="J95" s="662">
        <f>SUM(B95:I97)</f>
        <v>281</v>
      </c>
      <c r="K95" s="734">
        <v>69</v>
      </c>
      <c r="L95" s="734"/>
      <c r="M95" s="734"/>
      <c r="N95" s="734"/>
      <c r="O95" s="734"/>
      <c r="P95" s="662">
        <f t="shared" si="7"/>
        <v>350</v>
      </c>
      <c r="Q95" s="701"/>
      <c r="R95" s="701">
        <f t="shared" ref="R95:R112" si="20">B95</f>
        <v>42</v>
      </c>
      <c r="S95" s="770">
        <v>80</v>
      </c>
      <c r="T95" s="770">
        <v>80</v>
      </c>
      <c r="U95" s="770">
        <v>80</v>
      </c>
      <c r="V95" s="770">
        <v>80</v>
      </c>
      <c r="W95" s="770">
        <v>80</v>
      </c>
      <c r="X95" s="770"/>
      <c r="Y95" s="770"/>
      <c r="Z95" s="770"/>
      <c r="AA95" s="770"/>
      <c r="AB95" s="770"/>
      <c r="AC95" s="770"/>
      <c r="AD95" s="770"/>
      <c r="AE95" s="770"/>
      <c r="AF95" s="770"/>
      <c r="AG95" s="770"/>
      <c r="AH95" s="461" t="s">
        <v>364</v>
      </c>
    </row>
    <row r="96" spans="1:34" hidden="1">
      <c r="A96" s="100" t="s">
        <v>118</v>
      </c>
      <c r="B96" s="100"/>
      <c r="C96" s="100"/>
      <c r="D96" s="100"/>
      <c r="E96" s="100"/>
      <c r="F96" s="386"/>
      <c r="G96" s="386"/>
      <c r="H96" s="386"/>
      <c r="I96" s="386"/>
      <c r="J96" s="252"/>
      <c r="K96" s="713"/>
      <c r="L96" s="713">
        <v>126</v>
      </c>
      <c r="M96" s="713">
        <v>48</v>
      </c>
      <c r="N96" s="713">
        <v>49</v>
      </c>
      <c r="O96" s="713"/>
      <c r="P96" s="252">
        <f t="shared" si="7"/>
        <v>223</v>
      </c>
      <c r="Q96" s="614"/>
      <c r="R96" s="614">
        <f t="shared" si="20"/>
        <v>0</v>
      </c>
      <c r="S96" s="691"/>
      <c r="T96" s="691"/>
      <c r="U96" s="691"/>
      <c r="V96" s="691"/>
      <c r="W96" s="691"/>
      <c r="X96" s="691"/>
      <c r="Y96" s="691"/>
      <c r="Z96" s="691"/>
      <c r="AA96" s="691"/>
      <c r="AB96" s="691"/>
      <c r="AC96" s="691"/>
      <c r="AD96" s="691"/>
      <c r="AE96" s="691"/>
      <c r="AF96" s="691"/>
      <c r="AG96" s="691"/>
    </row>
    <row r="97" spans="1:33" hidden="1">
      <c r="A97" s="100" t="s">
        <v>68</v>
      </c>
      <c r="B97" s="100"/>
      <c r="C97" s="100"/>
      <c r="D97" s="100"/>
      <c r="E97" s="100"/>
      <c r="F97" s="386"/>
      <c r="G97" s="386"/>
      <c r="H97" s="386"/>
      <c r="I97" s="386"/>
      <c r="J97" s="252"/>
      <c r="K97" s="252"/>
      <c r="L97" s="713"/>
      <c r="M97" s="252"/>
      <c r="N97" s="252"/>
      <c r="O97" s="252"/>
      <c r="P97" s="252">
        <f t="shared" si="7"/>
        <v>0</v>
      </c>
      <c r="Q97" s="614" t="s">
        <v>70</v>
      </c>
      <c r="R97" s="614">
        <f t="shared" si="20"/>
        <v>0</v>
      </c>
      <c r="S97" s="691"/>
      <c r="T97" s="691"/>
      <c r="U97" s="691"/>
      <c r="V97" s="691"/>
      <c r="W97" s="691"/>
      <c r="X97" s="691"/>
      <c r="Y97" s="691"/>
      <c r="Z97" s="691"/>
      <c r="AA97" s="691"/>
      <c r="AB97" s="691"/>
      <c r="AC97" s="691"/>
      <c r="AD97" s="691"/>
      <c r="AE97" s="691"/>
      <c r="AF97" s="691"/>
      <c r="AG97" s="691"/>
    </row>
    <row r="98" spans="1:33">
      <c r="A98" s="100" t="s">
        <v>146</v>
      </c>
      <c r="B98" s="100"/>
      <c r="C98" s="100"/>
      <c r="D98" s="100"/>
      <c r="E98" s="100"/>
      <c r="F98" s="386">
        <v>1</v>
      </c>
      <c r="G98" s="386"/>
      <c r="H98" s="386"/>
      <c r="I98" s="386"/>
      <c r="J98" s="252">
        <f>SUM(B98:I98)</f>
        <v>1</v>
      </c>
      <c r="K98" s="252"/>
      <c r="L98" s="252"/>
      <c r="M98" s="252"/>
      <c r="N98" s="252"/>
      <c r="O98" s="252"/>
      <c r="P98" s="252">
        <f t="shared" si="7"/>
        <v>1</v>
      </c>
      <c r="Q98" s="614"/>
      <c r="R98" s="614">
        <f t="shared" si="20"/>
        <v>0</v>
      </c>
      <c r="S98" s="739">
        <v>0</v>
      </c>
      <c r="T98" s="739">
        <v>0</v>
      </c>
      <c r="U98" s="739">
        <v>0</v>
      </c>
      <c r="V98" s="739">
        <v>0</v>
      </c>
      <c r="W98" s="739">
        <v>0</v>
      </c>
      <c r="X98" s="739"/>
      <c r="Y98" s="739"/>
      <c r="Z98" s="739"/>
      <c r="AA98" s="739"/>
      <c r="AB98" s="739"/>
      <c r="AC98" s="739"/>
      <c r="AD98" s="739"/>
      <c r="AE98" s="739"/>
      <c r="AF98" s="739"/>
      <c r="AG98" s="739"/>
    </row>
    <row r="99" spans="1:33" hidden="1">
      <c r="A99" s="100" t="s">
        <v>124</v>
      </c>
      <c r="B99" s="100"/>
      <c r="C99" s="100"/>
      <c r="D99" s="100"/>
      <c r="E99" s="100"/>
      <c r="F99" s="386"/>
      <c r="G99" s="386"/>
      <c r="H99" s="386"/>
      <c r="I99" s="386"/>
      <c r="J99" s="252">
        <f>SUM(C99:H99)</f>
        <v>0</v>
      </c>
      <c r="K99" s="713">
        <v>128</v>
      </c>
      <c r="L99" s="713">
        <v>122</v>
      </c>
      <c r="M99" s="713">
        <v>11</v>
      </c>
      <c r="N99" s="252">
        <v>7</v>
      </c>
      <c r="O99" s="713"/>
      <c r="P99" s="252">
        <f t="shared" si="7"/>
        <v>268</v>
      </c>
      <c r="Q99" s="614"/>
      <c r="R99" s="614">
        <f t="shared" si="20"/>
        <v>0</v>
      </c>
      <c r="S99" s="691"/>
      <c r="T99" s="691"/>
      <c r="U99" s="691"/>
      <c r="V99" s="691"/>
      <c r="W99" s="691"/>
      <c r="X99" s="691"/>
      <c r="Y99" s="691"/>
      <c r="Z99" s="691"/>
      <c r="AA99" s="691"/>
      <c r="AB99" s="691"/>
      <c r="AC99" s="691"/>
      <c r="AD99" s="691"/>
      <c r="AE99" s="691"/>
      <c r="AF99" s="691"/>
      <c r="AG99" s="691"/>
    </row>
    <row r="100" spans="1:33" hidden="1">
      <c r="A100" s="100" t="s">
        <v>69</v>
      </c>
      <c r="B100" s="100"/>
      <c r="C100" s="100"/>
      <c r="D100" s="100"/>
      <c r="E100" s="100"/>
      <c r="F100" s="386"/>
      <c r="G100" s="386"/>
      <c r="H100" s="386"/>
      <c r="I100" s="386"/>
      <c r="J100" s="252">
        <f>SUM(C100:G100)</f>
        <v>0</v>
      </c>
      <c r="K100" s="252"/>
      <c r="L100" s="713"/>
      <c r="M100" s="713"/>
      <c r="N100" s="252"/>
      <c r="O100" s="252"/>
      <c r="P100" s="252">
        <f t="shared" si="7"/>
        <v>0</v>
      </c>
      <c r="Q100" s="614" t="s">
        <v>70</v>
      </c>
      <c r="R100" s="614">
        <f t="shared" si="20"/>
        <v>0</v>
      </c>
      <c r="S100" s="691"/>
      <c r="T100" s="691"/>
      <c r="U100" s="691"/>
      <c r="V100" s="691"/>
      <c r="W100" s="691"/>
      <c r="X100" s="691"/>
      <c r="Y100" s="691"/>
      <c r="Z100" s="691"/>
      <c r="AA100" s="691"/>
      <c r="AB100" s="691"/>
      <c r="AC100" s="691"/>
      <c r="AD100" s="691"/>
      <c r="AE100" s="691"/>
      <c r="AF100" s="691"/>
      <c r="AG100" s="691"/>
    </row>
    <row r="101" spans="1:33">
      <c r="A101" s="100" t="s">
        <v>42</v>
      </c>
      <c r="B101" s="100">
        <v>58</v>
      </c>
      <c r="C101" s="100">
        <v>53</v>
      </c>
      <c r="D101" s="100">
        <v>12</v>
      </c>
      <c r="E101" s="100">
        <v>2</v>
      </c>
      <c r="F101" s="386">
        <v>3</v>
      </c>
      <c r="G101" s="386"/>
      <c r="H101" s="386"/>
      <c r="I101" s="386"/>
      <c r="J101" s="252">
        <f>SUM(B101:I101)</f>
        <v>128</v>
      </c>
      <c r="K101" s="713"/>
      <c r="L101" s="713"/>
      <c r="M101" s="713"/>
      <c r="N101" s="252"/>
      <c r="O101" s="252"/>
      <c r="P101" s="252">
        <f t="shared" ref="P101" si="21">SUM(J101:O101)</f>
        <v>128</v>
      </c>
      <c r="Q101" s="614"/>
      <c r="R101" s="614">
        <f t="shared" si="20"/>
        <v>58</v>
      </c>
      <c r="S101" s="738">
        <v>50</v>
      </c>
      <c r="T101" s="738">
        <v>50</v>
      </c>
      <c r="U101" s="738">
        <v>50</v>
      </c>
      <c r="V101" s="738">
        <v>50</v>
      </c>
      <c r="W101" s="738">
        <v>50</v>
      </c>
      <c r="X101" s="738"/>
      <c r="Y101" s="738"/>
      <c r="Z101" s="738"/>
      <c r="AA101" s="738"/>
      <c r="AB101" s="738"/>
      <c r="AC101" s="738"/>
      <c r="AD101" s="738"/>
      <c r="AE101" s="738"/>
      <c r="AF101" s="738"/>
      <c r="AG101" s="738"/>
    </row>
    <row r="102" spans="1:33">
      <c r="A102" s="100" t="s">
        <v>142</v>
      </c>
      <c r="B102" s="100"/>
      <c r="C102" s="100">
        <v>34</v>
      </c>
      <c r="D102" s="100">
        <v>24</v>
      </c>
      <c r="E102" s="100">
        <v>4</v>
      </c>
      <c r="F102" s="386">
        <v>10</v>
      </c>
      <c r="G102" s="386"/>
      <c r="H102" s="386"/>
      <c r="I102" s="386"/>
      <c r="J102" s="252">
        <f>SUM(B102:I102)</f>
        <v>72</v>
      </c>
      <c r="K102" s="713"/>
      <c r="L102" s="713"/>
      <c r="M102" s="252"/>
      <c r="N102" s="713"/>
      <c r="O102" s="252"/>
      <c r="P102" s="252">
        <f t="shared" si="7"/>
        <v>72</v>
      </c>
      <c r="Q102" s="614"/>
      <c r="R102" s="614">
        <f t="shared" si="20"/>
        <v>0</v>
      </c>
      <c r="S102" s="739">
        <v>0</v>
      </c>
      <c r="T102" s="739">
        <v>0</v>
      </c>
      <c r="U102" s="739">
        <v>0</v>
      </c>
      <c r="V102" s="739">
        <v>0</v>
      </c>
      <c r="W102" s="739">
        <v>0</v>
      </c>
      <c r="X102" s="739"/>
      <c r="Y102" s="739"/>
      <c r="Z102" s="739"/>
      <c r="AA102" s="739"/>
      <c r="AB102" s="739"/>
      <c r="AC102" s="739"/>
      <c r="AD102" s="739"/>
      <c r="AE102" s="739"/>
      <c r="AF102" s="739"/>
      <c r="AG102" s="739"/>
    </row>
    <row r="103" spans="1:33" hidden="1">
      <c r="A103" s="100" t="s">
        <v>29</v>
      </c>
      <c r="B103" s="100"/>
      <c r="C103" s="100"/>
      <c r="D103" s="100"/>
      <c r="E103" s="100"/>
      <c r="F103" s="386"/>
      <c r="G103" s="386"/>
      <c r="H103" s="386"/>
      <c r="I103" s="386"/>
      <c r="J103" s="252">
        <f t="shared" ref="J103:J108" si="22">SUM(C103:G103)</f>
        <v>0</v>
      </c>
      <c r="K103" s="713"/>
      <c r="L103" s="252"/>
      <c r="M103" s="252"/>
      <c r="N103" s="252"/>
      <c r="O103" s="252"/>
      <c r="P103" s="252">
        <f t="shared" si="7"/>
        <v>0</v>
      </c>
      <c r="Q103" s="614"/>
      <c r="R103" s="614">
        <f t="shared" si="20"/>
        <v>0</v>
      </c>
      <c r="S103" s="691"/>
      <c r="T103" s="691"/>
      <c r="U103" s="691"/>
      <c r="V103" s="691"/>
      <c r="W103" s="691"/>
      <c r="X103" s="691"/>
      <c r="Y103" s="691"/>
      <c r="Z103" s="691"/>
      <c r="AA103" s="691"/>
      <c r="AB103" s="691"/>
      <c r="AC103" s="691"/>
      <c r="AD103" s="691"/>
      <c r="AE103" s="691"/>
      <c r="AF103" s="691"/>
      <c r="AG103" s="691"/>
    </row>
    <row r="104" spans="1:33" hidden="1">
      <c r="A104" s="100" t="s">
        <v>95</v>
      </c>
      <c r="B104" s="100"/>
      <c r="C104" s="100"/>
      <c r="D104" s="100"/>
      <c r="E104" s="100"/>
      <c r="F104" s="386"/>
      <c r="G104" s="386"/>
      <c r="H104" s="386"/>
      <c r="I104" s="386"/>
      <c r="J104" s="252">
        <f t="shared" si="22"/>
        <v>0</v>
      </c>
      <c r="K104" s="713"/>
      <c r="L104" s="252"/>
      <c r="M104" s="252"/>
      <c r="N104" s="252"/>
      <c r="O104" s="252"/>
      <c r="P104" s="252">
        <f t="shared" si="7"/>
        <v>0</v>
      </c>
      <c r="Q104" s="614"/>
      <c r="R104" s="614">
        <f t="shared" si="20"/>
        <v>0</v>
      </c>
      <c r="S104" s="691"/>
      <c r="T104" s="691"/>
      <c r="U104" s="691"/>
      <c r="V104" s="691"/>
      <c r="W104" s="691"/>
      <c r="X104" s="691"/>
      <c r="Y104" s="691"/>
      <c r="Z104" s="691"/>
      <c r="AA104" s="691"/>
      <c r="AB104" s="691"/>
      <c r="AC104" s="691"/>
      <c r="AD104" s="691"/>
      <c r="AE104" s="691"/>
      <c r="AF104" s="691"/>
      <c r="AG104" s="691"/>
    </row>
    <row r="105" spans="1:33" hidden="1">
      <c r="A105" s="100" t="s">
        <v>30</v>
      </c>
      <c r="B105" s="100"/>
      <c r="C105" s="100"/>
      <c r="D105" s="100"/>
      <c r="E105" s="100"/>
      <c r="F105" s="386"/>
      <c r="G105" s="386"/>
      <c r="H105" s="386"/>
      <c r="I105" s="386"/>
      <c r="J105" s="252">
        <f t="shared" si="22"/>
        <v>0</v>
      </c>
      <c r="K105" s="252"/>
      <c r="L105" s="252"/>
      <c r="M105" s="252"/>
      <c r="N105" s="252"/>
      <c r="O105" s="252"/>
      <c r="P105" s="252">
        <f t="shared" si="7"/>
        <v>0</v>
      </c>
      <c r="Q105" s="614"/>
      <c r="R105" s="614">
        <f t="shared" si="20"/>
        <v>0</v>
      </c>
      <c r="S105" s="691"/>
      <c r="T105" s="691"/>
      <c r="U105" s="691"/>
      <c r="V105" s="691"/>
      <c r="W105" s="691"/>
      <c r="X105" s="691"/>
      <c r="Y105" s="691"/>
      <c r="Z105" s="691"/>
      <c r="AA105" s="691"/>
      <c r="AB105" s="691"/>
      <c r="AC105" s="691"/>
      <c r="AD105" s="691"/>
      <c r="AE105" s="691"/>
      <c r="AF105" s="691"/>
      <c r="AG105" s="691"/>
    </row>
    <row r="106" spans="1:33" hidden="1">
      <c r="A106" s="100" t="s">
        <v>31</v>
      </c>
      <c r="B106" s="100"/>
      <c r="C106" s="100"/>
      <c r="D106" s="100"/>
      <c r="E106" s="100"/>
      <c r="F106" s="386"/>
      <c r="G106" s="386"/>
      <c r="H106" s="386"/>
      <c r="I106" s="386"/>
      <c r="J106" s="252">
        <f t="shared" si="22"/>
        <v>0</v>
      </c>
      <c r="K106" s="252"/>
      <c r="L106" s="252"/>
      <c r="M106" s="252"/>
      <c r="N106" s="252"/>
      <c r="O106" s="252"/>
      <c r="P106" s="252">
        <f t="shared" si="7"/>
        <v>0</v>
      </c>
      <c r="Q106" s="614"/>
      <c r="R106" s="614">
        <f t="shared" si="20"/>
        <v>0</v>
      </c>
      <c r="S106" s="691"/>
      <c r="T106" s="691"/>
      <c r="U106" s="691"/>
      <c r="V106" s="691"/>
      <c r="W106" s="691"/>
      <c r="X106" s="691"/>
      <c r="Y106" s="691"/>
      <c r="Z106" s="691"/>
      <c r="AA106" s="691"/>
      <c r="AB106" s="691"/>
      <c r="AC106" s="691"/>
      <c r="AD106" s="691"/>
      <c r="AE106" s="691"/>
      <c r="AF106" s="691"/>
      <c r="AG106" s="691"/>
    </row>
    <row r="107" spans="1:33" hidden="1">
      <c r="A107" s="100" t="s">
        <v>32</v>
      </c>
      <c r="B107" s="100"/>
      <c r="C107" s="100"/>
      <c r="D107" s="100"/>
      <c r="E107" s="100"/>
      <c r="F107" s="386"/>
      <c r="G107" s="386"/>
      <c r="H107" s="386"/>
      <c r="I107" s="386"/>
      <c r="J107" s="252">
        <f t="shared" si="22"/>
        <v>0</v>
      </c>
      <c r="K107" s="252"/>
      <c r="L107" s="713">
        <v>26</v>
      </c>
      <c r="M107" s="713">
        <v>1</v>
      </c>
      <c r="N107" s="252"/>
      <c r="O107" s="252"/>
      <c r="P107" s="252">
        <f t="shared" si="7"/>
        <v>27</v>
      </c>
      <c r="Q107" s="614"/>
      <c r="R107" s="614">
        <f t="shared" si="20"/>
        <v>0</v>
      </c>
      <c r="S107" s="691"/>
      <c r="T107" s="691"/>
      <c r="U107" s="691"/>
      <c r="V107" s="691"/>
      <c r="W107" s="691"/>
      <c r="X107" s="691"/>
      <c r="Y107" s="691"/>
      <c r="Z107" s="691"/>
      <c r="AA107" s="691"/>
      <c r="AB107" s="691"/>
      <c r="AC107" s="691"/>
      <c r="AD107" s="691"/>
      <c r="AE107" s="691"/>
      <c r="AF107" s="691"/>
      <c r="AG107" s="691"/>
    </row>
    <row r="108" spans="1:33" hidden="1">
      <c r="A108" s="100" t="s">
        <v>33</v>
      </c>
      <c r="B108" s="100"/>
      <c r="C108" s="100"/>
      <c r="D108" s="100"/>
      <c r="E108" s="100"/>
      <c r="F108" s="386"/>
      <c r="G108" s="386"/>
      <c r="H108" s="386"/>
      <c r="I108" s="386"/>
      <c r="J108" s="252">
        <f t="shared" si="22"/>
        <v>0</v>
      </c>
      <c r="K108" s="252">
        <v>85</v>
      </c>
      <c r="L108" s="252">
        <v>66</v>
      </c>
      <c r="M108" s="713">
        <v>14</v>
      </c>
      <c r="N108" s="252">
        <v>7</v>
      </c>
      <c r="O108" s="252"/>
      <c r="P108" s="252">
        <f t="shared" si="7"/>
        <v>172</v>
      </c>
      <c r="Q108" s="614"/>
      <c r="R108" s="614">
        <f t="shared" si="20"/>
        <v>0</v>
      </c>
      <c r="S108" s="691"/>
      <c r="T108" s="691"/>
      <c r="U108" s="691"/>
      <c r="V108" s="691"/>
      <c r="W108" s="691"/>
      <c r="X108" s="691"/>
      <c r="Y108" s="691"/>
      <c r="Z108" s="691"/>
      <c r="AA108" s="691"/>
      <c r="AB108" s="691"/>
      <c r="AC108" s="691"/>
      <c r="AD108" s="691"/>
      <c r="AE108" s="691"/>
      <c r="AF108" s="691"/>
      <c r="AG108" s="691"/>
    </row>
    <row r="109" spans="1:33" hidden="1">
      <c r="A109" s="100" t="s">
        <v>142</v>
      </c>
      <c r="B109" s="100"/>
      <c r="C109" s="100"/>
      <c r="D109" s="100"/>
      <c r="E109" s="100"/>
      <c r="F109" s="386"/>
      <c r="G109" s="386"/>
      <c r="H109" s="386"/>
      <c r="I109" s="386"/>
      <c r="J109" s="252">
        <f>SUM(C109:H109)</f>
        <v>0</v>
      </c>
      <c r="K109" s="713"/>
      <c r="L109" s="713"/>
      <c r="M109" s="252"/>
      <c r="N109" s="713"/>
      <c r="O109" s="252"/>
      <c r="P109" s="252">
        <f>SUM(J109:O109)</f>
        <v>0</v>
      </c>
      <c r="Q109" s="614"/>
      <c r="R109" s="614">
        <f t="shared" si="20"/>
        <v>0</v>
      </c>
      <c r="S109" s="691"/>
      <c r="T109" s="691"/>
      <c r="U109" s="691"/>
      <c r="V109" s="691"/>
      <c r="W109" s="691"/>
      <c r="X109" s="691"/>
      <c r="Y109" s="691"/>
      <c r="Z109" s="691"/>
      <c r="AA109" s="691"/>
      <c r="AB109" s="691"/>
      <c r="AC109" s="691"/>
      <c r="AD109" s="691"/>
      <c r="AE109" s="691"/>
      <c r="AF109" s="691"/>
      <c r="AG109" s="691"/>
    </row>
    <row r="110" spans="1:33" hidden="1">
      <c r="A110" s="100" t="s">
        <v>146</v>
      </c>
      <c r="B110" s="100"/>
      <c r="C110" s="100"/>
      <c r="D110" s="100"/>
      <c r="E110" s="100"/>
      <c r="F110" s="386"/>
      <c r="G110" s="386"/>
      <c r="H110" s="386"/>
      <c r="I110" s="386"/>
      <c r="J110" s="252">
        <f>SUM(C110:H110)</f>
        <v>0</v>
      </c>
      <c r="K110" s="252"/>
      <c r="L110" s="252"/>
      <c r="M110" s="252"/>
      <c r="N110" s="252"/>
      <c r="O110" s="252"/>
      <c r="P110" s="252">
        <f>SUM(J110:O110)</f>
        <v>0</v>
      </c>
      <c r="Q110" s="614"/>
      <c r="R110" s="614">
        <f t="shared" si="20"/>
        <v>0</v>
      </c>
      <c r="S110" s="691"/>
      <c r="T110" s="691"/>
      <c r="U110" s="691"/>
      <c r="V110" s="691"/>
      <c r="W110" s="691"/>
      <c r="X110" s="691"/>
      <c r="Y110" s="691"/>
      <c r="Z110" s="691"/>
      <c r="AA110" s="691"/>
      <c r="AB110" s="691"/>
      <c r="AC110" s="691"/>
      <c r="AD110" s="691"/>
      <c r="AE110" s="691"/>
      <c r="AF110" s="691"/>
      <c r="AG110" s="691"/>
    </row>
    <row r="111" spans="1:33">
      <c r="A111" s="100" t="s">
        <v>344</v>
      </c>
      <c r="B111" s="100">
        <v>29</v>
      </c>
      <c r="C111" s="100"/>
      <c r="D111" s="100"/>
      <c r="E111" s="100"/>
      <c r="F111" s="386"/>
      <c r="G111" s="386"/>
      <c r="H111" s="386"/>
      <c r="I111" s="386"/>
      <c r="J111" s="252">
        <f>SUM(B111:I111)</f>
        <v>29</v>
      </c>
      <c r="K111" s="713">
        <v>170</v>
      </c>
      <c r="L111" s="713">
        <v>102</v>
      </c>
      <c r="M111" s="713">
        <v>9</v>
      </c>
      <c r="N111" s="252">
        <v>5</v>
      </c>
      <c r="O111" s="252"/>
      <c r="P111" s="252">
        <f>SUM(J111:O111)</f>
        <v>315</v>
      </c>
      <c r="Q111" s="614"/>
      <c r="R111" s="614">
        <f t="shared" si="20"/>
        <v>29</v>
      </c>
      <c r="S111" s="738">
        <v>35</v>
      </c>
      <c r="T111" s="738">
        <v>35</v>
      </c>
      <c r="U111" s="738">
        <v>35</v>
      </c>
      <c r="V111" s="738">
        <v>35</v>
      </c>
      <c r="W111" s="738">
        <v>35</v>
      </c>
      <c r="X111" s="738"/>
      <c r="Y111" s="738"/>
      <c r="Z111" s="738"/>
      <c r="AA111" s="738"/>
      <c r="AB111" s="738"/>
      <c r="AC111" s="738"/>
      <c r="AD111" s="738"/>
      <c r="AE111" s="738"/>
      <c r="AF111" s="738"/>
      <c r="AG111" s="738"/>
    </row>
    <row r="112" spans="1:33">
      <c r="A112" s="100" t="s">
        <v>141</v>
      </c>
      <c r="B112" s="100">
        <v>41</v>
      </c>
      <c r="C112" s="100">
        <v>43</v>
      </c>
      <c r="D112" s="100">
        <v>19</v>
      </c>
      <c r="E112" s="100">
        <v>10</v>
      </c>
      <c r="F112" s="386">
        <v>9</v>
      </c>
      <c r="G112" s="386"/>
      <c r="H112" s="386"/>
      <c r="I112" s="386"/>
      <c r="J112" s="252">
        <f>SUM(B112:I112)</f>
        <v>122</v>
      </c>
      <c r="K112" s="713">
        <v>170</v>
      </c>
      <c r="L112" s="713">
        <v>102</v>
      </c>
      <c r="M112" s="713">
        <v>9</v>
      </c>
      <c r="N112" s="252">
        <v>5</v>
      </c>
      <c r="O112" s="252"/>
      <c r="P112" s="252">
        <f>SUM(J112:O112)</f>
        <v>408</v>
      </c>
      <c r="Q112" s="614"/>
      <c r="R112" s="614">
        <f t="shared" si="20"/>
        <v>41</v>
      </c>
      <c r="S112" s="738">
        <v>40</v>
      </c>
      <c r="T112" s="738">
        <v>40</v>
      </c>
      <c r="U112" s="738">
        <v>40</v>
      </c>
      <c r="V112" s="738">
        <v>40</v>
      </c>
      <c r="W112" s="738">
        <v>40</v>
      </c>
      <c r="X112" s="738"/>
      <c r="Y112" s="738"/>
      <c r="Z112" s="738"/>
      <c r="AA112" s="738"/>
      <c r="AB112" s="738"/>
      <c r="AC112" s="738"/>
      <c r="AD112" s="738"/>
      <c r="AE112" s="738"/>
      <c r="AF112" s="738"/>
      <c r="AG112" s="738"/>
    </row>
    <row r="113" spans="1:33" hidden="1">
      <c r="A113" s="100" t="s">
        <v>157</v>
      </c>
      <c r="B113" s="100"/>
      <c r="C113" s="100"/>
      <c r="D113" s="100"/>
      <c r="E113" s="100"/>
      <c r="F113" s="386"/>
      <c r="G113" s="386"/>
      <c r="H113" s="386"/>
      <c r="I113" s="386"/>
      <c r="J113" s="252">
        <f>SUM(C113:H113)</f>
        <v>0</v>
      </c>
      <c r="K113" s="252"/>
      <c r="L113" s="252"/>
      <c r="M113" s="252"/>
      <c r="N113" s="252"/>
      <c r="O113" s="252"/>
      <c r="P113" s="252">
        <f t="shared" si="7"/>
        <v>0</v>
      </c>
      <c r="Q113" s="614"/>
      <c r="R113" s="614"/>
      <c r="S113" s="691"/>
      <c r="T113" s="691"/>
      <c r="U113" s="691"/>
      <c r="V113" s="691"/>
      <c r="W113" s="691"/>
      <c r="X113" s="691"/>
      <c r="Y113" s="691"/>
      <c r="Z113" s="691"/>
      <c r="AA113" s="691"/>
      <c r="AB113" s="691"/>
      <c r="AC113" s="691"/>
      <c r="AD113" s="691"/>
      <c r="AE113" s="691"/>
      <c r="AF113" s="691"/>
      <c r="AG113" s="691"/>
    </row>
    <row r="114" spans="1:33" hidden="1">
      <c r="A114" s="100" t="s">
        <v>35</v>
      </c>
      <c r="B114" s="100"/>
      <c r="C114" s="100"/>
      <c r="D114" s="100"/>
      <c r="E114" s="100"/>
      <c r="F114" s="386"/>
      <c r="G114" s="386"/>
      <c r="H114" s="386"/>
      <c r="I114" s="386"/>
      <c r="J114" s="252"/>
      <c r="K114" s="252"/>
      <c r="L114" s="252"/>
      <c r="M114" s="252"/>
      <c r="N114" s="252"/>
      <c r="O114" s="252"/>
      <c r="P114" s="252">
        <f t="shared" si="7"/>
        <v>0</v>
      </c>
      <c r="Q114" s="614"/>
      <c r="R114" s="614"/>
      <c r="S114" s="691"/>
      <c r="T114" s="691"/>
      <c r="U114" s="691"/>
      <c r="V114" s="691"/>
      <c r="W114" s="691"/>
      <c r="X114" s="691"/>
      <c r="Y114" s="691"/>
      <c r="Z114" s="691"/>
      <c r="AA114" s="691"/>
      <c r="AB114" s="691"/>
      <c r="AC114" s="691"/>
      <c r="AD114" s="691"/>
      <c r="AE114" s="691"/>
      <c r="AF114" s="691"/>
      <c r="AG114" s="691"/>
    </row>
    <row r="115" spans="1:33">
      <c r="A115" s="681" t="s">
        <v>396</v>
      </c>
      <c r="B115" s="100"/>
      <c r="C115" s="100"/>
      <c r="D115" s="100"/>
      <c r="E115" s="100"/>
      <c r="F115" s="386"/>
      <c r="G115" s="386"/>
      <c r="H115" s="386"/>
      <c r="I115" s="386"/>
      <c r="J115" s="252"/>
      <c r="K115" s="252"/>
      <c r="L115" s="252"/>
      <c r="M115" s="252"/>
      <c r="N115" s="252"/>
      <c r="O115" s="252"/>
      <c r="P115" s="252"/>
      <c r="Q115" s="614"/>
      <c r="R115" s="614"/>
      <c r="S115" s="691"/>
      <c r="T115" s="691"/>
      <c r="U115" s="691"/>
      <c r="V115" s="691"/>
      <c r="W115" s="691"/>
      <c r="X115" s="691"/>
      <c r="Y115" s="691"/>
      <c r="Z115" s="691"/>
      <c r="AA115" s="691"/>
      <c r="AB115" s="691"/>
      <c r="AC115" s="691"/>
      <c r="AD115" s="691"/>
      <c r="AE115" s="691"/>
      <c r="AF115" s="691"/>
      <c r="AG115" s="691"/>
    </row>
    <row r="116" spans="1:33">
      <c r="A116" s="100"/>
      <c r="B116" s="100"/>
      <c r="C116" s="100"/>
      <c r="D116" s="100"/>
      <c r="E116" s="100"/>
      <c r="F116" s="386"/>
      <c r="G116" s="386"/>
      <c r="H116" s="386"/>
      <c r="I116" s="386"/>
      <c r="J116" s="252"/>
      <c r="K116" s="252"/>
      <c r="L116" s="252"/>
      <c r="M116" s="252"/>
      <c r="N116" s="252"/>
      <c r="O116" s="252"/>
      <c r="P116" s="252"/>
      <c r="Q116" s="614"/>
      <c r="R116" s="614"/>
      <c r="S116" s="691"/>
      <c r="T116" s="691"/>
      <c r="U116" s="691"/>
      <c r="V116" s="691"/>
      <c r="W116" s="691"/>
      <c r="X116" s="691"/>
      <c r="Y116" s="691"/>
      <c r="Z116" s="691"/>
      <c r="AA116" s="691"/>
      <c r="AB116" s="691"/>
      <c r="AC116" s="691"/>
      <c r="AD116" s="691"/>
      <c r="AE116" s="691"/>
      <c r="AF116" s="691"/>
      <c r="AG116" s="691"/>
    </row>
    <row r="117" spans="1:33">
      <c r="A117" s="100"/>
      <c r="B117" s="100"/>
      <c r="C117" s="100"/>
      <c r="D117" s="100"/>
      <c r="E117" s="100"/>
      <c r="F117" s="386"/>
      <c r="G117" s="386"/>
      <c r="H117" s="386"/>
      <c r="I117" s="386"/>
      <c r="J117" s="252"/>
      <c r="K117" s="252"/>
      <c r="L117" s="252"/>
      <c r="M117" s="252"/>
      <c r="N117" s="252"/>
      <c r="O117" s="252"/>
      <c r="P117" s="252"/>
      <c r="Q117" s="614"/>
      <c r="R117" s="614"/>
      <c r="S117" s="691"/>
      <c r="T117" s="691"/>
      <c r="U117" s="691"/>
      <c r="V117" s="691"/>
      <c r="W117" s="691"/>
      <c r="X117" s="691"/>
      <c r="Y117" s="691"/>
      <c r="Z117" s="691"/>
      <c r="AA117" s="691"/>
      <c r="AB117" s="691"/>
      <c r="AC117" s="691"/>
      <c r="AD117" s="691"/>
      <c r="AE117" s="691"/>
      <c r="AF117" s="691"/>
      <c r="AG117" s="691"/>
    </row>
    <row r="118" spans="1:33">
      <c r="A118" s="100"/>
      <c r="B118" s="100"/>
      <c r="C118" s="100"/>
      <c r="D118" s="100"/>
      <c r="E118" s="100"/>
      <c r="F118" s="386"/>
      <c r="G118" s="386"/>
      <c r="H118" s="386"/>
      <c r="I118" s="386"/>
      <c r="J118" s="252"/>
      <c r="K118" s="252"/>
      <c r="L118" s="252"/>
      <c r="M118" s="252"/>
      <c r="N118" s="252"/>
      <c r="O118" s="252"/>
      <c r="P118" s="252"/>
      <c r="Q118" s="614"/>
      <c r="R118" s="614"/>
      <c r="S118" s="691"/>
      <c r="T118" s="691"/>
      <c r="U118" s="691"/>
      <c r="V118" s="691"/>
      <c r="W118" s="691"/>
      <c r="X118" s="691"/>
      <c r="Y118" s="691"/>
      <c r="Z118" s="691"/>
      <c r="AA118" s="691"/>
      <c r="AB118" s="691"/>
      <c r="AC118" s="691"/>
      <c r="AD118" s="691"/>
      <c r="AE118" s="691"/>
      <c r="AF118" s="691"/>
      <c r="AG118" s="691"/>
    </row>
    <row r="119" spans="1:33">
      <c r="A119" s="401"/>
      <c r="B119" s="401"/>
      <c r="C119" s="401"/>
      <c r="D119" s="401"/>
      <c r="E119" s="401"/>
      <c r="F119" s="676"/>
      <c r="G119" s="676"/>
      <c r="H119" s="676"/>
      <c r="I119" s="676"/>
      <c r="J119" s="668"/>
      <c r="K119" s="668"/>
      <c r="L119" s="668"/>
      <c r="M119" s="668"/>
      <c r="N119" s="668"/>
      <c r="O119" s="668"/>
      <c r="P119" s="668"/>
      <c r="Q119" s="737"/>
      <c r="R119" s="737"/>
      <c r="S119" s="754"/>
      <c r="T119" s="754"/>
      <c r="U119" s="754"/>
      <c r="V119" s="754"/>
      <c r="W119" s="754"/>
      <c r="X119" s="754"/>
      <c r="Y119" s="754"/>
      <c r="Z119" s="754"/>
      <c r="AA119" s="754"/>
      <c r="AB119" s="754"/>
      <c r="AC119" s="754"/>
      <c r="AD119" s="754"/>
      <c r="AE119" s="754"/>
      <c r="AF119" s="754"/>
      <c r="AG119" s="754"/>
    </row>
    <row r="120" spans="1:33">
      <c r="A120" s="95" t="s">
        <v>3</v>
      </c>
      <c r="B120" s="392">
        <f t="shared" ref="B120:O120" si="23">SUM(B95:B114)</f>
        <v>170</v>
      </c>
      <c r="C120" s="392">
        <f t="shared" si="23"/>
        <v>217</v>
      </c>
      <c r="D120" s="392">
        <f t="shared" si="23"/>
        <v>110</v>
      </c>
      <c r="E120" s="392">
        <f t="shared" si="23"/>
        <v>95</v>
      </c>
      <c r="F120" s="392">
        <f t="shared" si="23"/>
        <v>41</v>
      </c>
      <c r="G120" s="392">
        <f t="shared" si="23"/>
        <v>0</v>
      </c>
      <c r="H120" s="392">
        <f t="shared" si="23"/>
        <v>0</v>
      </c>
      <c r="I120" s="392">
        <f t="shared" si="23"/>
        <v>0</v>
      </c>
      <c r="J120" s="106">
        <f t="shared" si="23"/>
        <v>633</v>
      </c>
      <c r="K120" s="106">
        <f t="shared" si="23"/>
        <v>622</v>
      </c>
      <c r="L120" s="106">
        <f t="shared" si="23"/>
        <v>544</v>
      </c>
      <c r="M120" s="106">
        <f t="shared" si="23"/>
        <v>92</v>
      </c>
      <c r="N120" s="106">
        <f t="shared" si="23"/>
        <v>73</v>
      </c>
      <c r="O120" s="106">
        <f t="shared" si="23"/>
        <v>0</v>
      </c>
      <c r="P120" s="106">
        <f t="shared" si="7"/>
        <v>1964</v>
      </c>
      <c r="Q120" s="491"/>
      <c r="R120" s="106">
        <f t="shared" ref="R120:AG120" si="24">SUM(R95:R114)</f>
        <v>170</v>
      </c>
      <c r="S120" s="106">
        <f t="shared" si="24"/>
        <v>205</v>
      </c>
      <c r="T120" s="106">
        <f t="shared" si="24"/>
        <v>205</v>
      </c>
      <c r="U120" s="106">
        <f t="shared" si="24"/>
        <v>205</v>
      </c>
      <c r="V120" s="106">
        <f t="shared" si="24"/>
        <v>205</v>
      </c>
      <c r="W120" s="106">
        <f t="shared" si="24"/>
        <v>205</v>
      </c>
      <c r="X120" s="106">
        <f t="shared" si="24"/>
        <v>0</v>
      </c>
      <c r="Y120" s="106">
        <f t="shared" si="24"/>
        <v>0</v>
      </c>
      <c r="Z120" s="106">
        <f t="shared" si="24"/>
        <v>0</v>
      </c>
      <c r="AA120" s="106">
        <f t="shared" si="24"/>
        <v>0</v>
      </c>
      <c r="AB120" s="106">
        <f t="shared" si="24"/>
        <v>0</v>
      </c>
      <c r="AC120" s="106">
        <f t="shared" si="24"/>
        <v>0</v>
      </c>
      <c r="AD120" s="106">
        <f t="shared" si="24"/>
        <v>0</v>
      </c>
      <c r="AE120" s="106">
        <f t="shared" si="24"/>
        <v>0</v>
      </c>
      <c r="AF120" s="106">
        <f t="shared" si="24"/>
        <v>0</v>
      </c>
      <c r="AG120" s="106">
        <f t="shared" si="24"/>
        <v>0</v>
      </c>
    </row>
    <row r="121" spans="1:33" hidden="1">
      <c r="A121" s="697" t="s">
        <v>36</v>
      </c>
      <c r="B121" s="414">
        <f t="shared" ref="B121:J121" si="25">SUM(B25,B54,B75,B93,B120,B63)</f>
        <v>358</v>
      </c>
      <c r="C121" s="414">
        <f t="shared" si="25"/>
        <v>387</v>
      </c>
      <c r="D121" s="414">
        <f t="shared" si="25"/>
        <v>255</v>
      </c>
      <c r="E121" s="414">
        <f t="shared" si="25"/>
        <v>215</v>
      </c>
      <c r="F121" s="414">
        <f t="shared" si="25"/>
        <v>110</v>
      </c>
      <c r="G121" s="414">
        <f t="shared" si="25"/>
        <v>0</v>
      </c>
      <c r="H121" s="414">
        <f t="shared" si="25"/>
        <v>0</v>
      </c>
      <c r="I121" s="414">
        <f t="shared" si="25"/>
        <v>0</v>
      </c>
      <c r="J121" s="719">
        <f t="shared" si="25"/>
        <v>1287</v>
      </c>
      <c r="K121" s="719">
        <f t="shared" ref="K121:P121" si="26">SUM(K25,K54,K75,K93,K120)</f>
        <v>1304</v>
      </c>
      <c r="L121" s="719">
        <f t="shared" si="26"/>
        <v>1190</v>
      </c>
      <c r="M121" s="719">
        <f t="shared" si="26"/>
        <v>272</v>
      </c>
      <c r="N121" s="719">
        <f t="shared" si="26"/>
        <v>170</v>
      </c>
      <c r="O121" s="719">
        <f t="shared" si="26"/>
        <v>0</v>
      </c>
      <c r="P121" s="719">
        <f t="shared" si="26"/>
        <v>4188</v>
      </c>
      <c r="Q121" s="421">
        <v>3678</v>
      </c>
      <c r="S121" s="695"/>
      <c r="T121" s="695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  <c r="AF121" s="695"/>
      <c r="AG121" s="695"/>
    </row>
    <row r="122" spans="1:33" hidden="1">
      <c r="B122" s="169">
        <f>B121+บัณฑิตศึกษา!B41</f>
        <v>732</v>
      </c>
      <c r="G122" s="169">
        <f>J121+บัณฑิตศึกษา!I41</f>
        <v>2327</v>
      </c>
      <c r="J122" s="626" t="e">
        <f>#REF!-#REF!</f>
        <v>#REF!</v>
      </c>
    </row>
    <row r="123" spans="1:33" hidden="1">
      <c r="A123" s="875" t="s">
        <v>353</v>
      </c>
      <c r="B123" s="876"/>
      <c r="C123" s="876"/>
      <c r="D123" s="876"/>
      <c r="G123" s="417"/>
      <c r="H123" s="417"/>
      <c r="I123" s="417"/>
      <c r="J123" s="720">
        <v>1538</v>
      </c>
      <c r="K123" s="721"/>
      <c r="L123" s="721"/>
      <c r="M123" s="721"/>
      <c r="N123" s="721"/>
      <c r="O123" s="721"/>
      <c r="P123" s="721">
        <v>28</v>
      </c>
      <c r="Q123" s="721"/>
      <c r="R123" s="721"/>
      <c r="S123" s="698"/>
      <c r="T123" s="698"/>
      <c r="U123" s="698"/>
      <c r="V123" s="698"/>
      <c r="W123" s="698"/>
      <c r="X123" s="698"/>
      <c r="Y123" s="698"/>
      <c r="Z123" s="698"/>
      <c r="AA123" s="698"/>
      <c r="AB123" s="698"/>
      <c r="AC123" s="698"/>
      <c r="AD123" s="698"/>
      <c r="AE123" s="698"/>
      <c r="AF123" s="698"/>
      <c r="AG123" s="698"/>
    </row>
    <row r="124" spans="1:33" hidden="1">
      <c r="A124" s="486" t="s">
        <v>294</v>
      </c>
      <c r="B124" s="624"/>
      <c r="G124" s="169"/>
      <c r="J124" s="721">
        <f>J121-J123</f>
        <v>-251</v>
      </c>
      <c r="K124" s="721"/>
      <c r="L124" s="721"/>
      <c r="M124" s="721"/>
      <c r="N124" s="721"/>
      <c r="O124" s="721"/>
      <c r="P124" s="721"/>
      <c r="Q124" s="721"/>
      <c r="R124" s="721"/>
      <c r="S124" s="698"/>
      <c r="T124" s="698"/>
      <c r="U124" s="698"/>
      <c r="V124" s="698"/>
      <c r="W124" s="698"/>
      <c r="X124" s="698"/>
      <c r="Y124" s="698"/>
      <c r="Z124" s="698"/>
      <c r="AA124" s="698"/>
      <c r="AB124" s="698"/>
      <c r="AC124" s="698"/>
      <c r="AD124" s="698"/>
      <c r="AE124" s="698"/>
      <c r="AF124" s="698"/>
      <c r="AG124" s="698"/>
    </row>
    <row r="125" spans="1:33" hidden="1">
      <c r="A125" s="486"/>
      <c r="B125" s="624"/>
    </row>
    <row r="126" spans="1:33" ht="21.75" hidden="1" thickBot="1">
      <c r="A126" s="487"/>
      <c r="B126" s="624"/>
    </row>
    <row r="127" spans="1:33" hidden="1">
      <c r="A127" s="126" t="s">
        <v>39</v>
      </c>
      <c r="B127" s="126"/>
      <c r="C127" s="169">
        <f>G25</f>
        <v>0</v>
      </c>
      <c r="J127" s="421">
        <v>1436</v>
      </c>
    </row>
    <row r="128" spans="1:33" hidden="1">
      <c r="A128" s="126" t="s">
        <v>149</v>
      </c>
      <c r="B128" s="126"/>
      <c r="C128" s="169" t="e">
        <f>(G54+G93+G120)-C129</f>
        <v>#REF!</v>
      </c>
    </row>
    <row r="129" spans="1:10" hidden="1">
      <c r="A129" s="126" t="s">
        <v>41</v>
      </c>
      <c r="B129" s="126"/>
      <c r="C129" s="93" t="e">
        <f>#REF!</f>
        <v>#REF!</v>
      </c>
    </row>
    <row r="130" spans="1:10" hidden="1">
      <c r="A130" s="126" t="s">
        <v>152</v>
      </c>
      <c r="B130" s="126"/>
      <c r="C130" s="93">
        <v>0</v>
      </c>
      <c r="J130" s="421">
        <f>J121-67</f>
        <v>1220</v>
      </c>
    </row>
    <row r="131" spans="1:10" hidden="1">
      <c r="A131" s="126" t="s">
        <v>150</v>
      </c>
      <c r="B131" s="126"/>
      <c r="C131" s="93">
        <f>บัณฑิตศึกษา!F44</f>
        <v>0</v>
      </c>
    </row>
    <row r="132" spans="1:10" hidden="1">
      <c r="A132" s="126" t="s">
        <v>151</v>
      </c>
      <c r="B132" s="126"/>
      <c r="C132" s="93">
        <f>บัณฑิตศึกษา!F45</f>
        <v>0</v>
      </c>
    </row>
    <row r="133" spans="1:10" hidden="1">
      <c r="C133" s="169" t="e">
        <f>SUM(C127:C132)</f>
        <v>#REF!</v>
      </c>
    </row>
    <row r="134" spans="1:10" hidden="1">
      <c r="A134" s="261"/>
      <c r="B134" s="261"/>
      <c r="C134" s="261"/>
      <c r="D134" s="261"/>
    </row>
    <row r="135" spans="1:10" hidden="1"/>
    <row r="136" spans="1:10" hidden="1"/>
    <row r="137" spans="1:10" hidden="1">
      <c r="C137" s="93" t="s">
        <v>156</v>
      </c>
      <c r="D137" s="93" t="s">
        <v>155</v>
      </c>
    </row>
    <row r="138" spans="1:10" hidden="1">
      <c r="A138" s="126" t="s">
        <v>207</v>
      </c>
      <c r="B138" s="126"/>
    </row>
    <row r="139" spans="1:10" hidden="1">
      <c r="A139" s="126" t="s">
        <v>65</v>
      </c>
      <c r="B139" s="126"/>
    </row>
    <row r="140" spans="1:10" hidden="1">
      <c r="A140" s="126" t="s">
        <v>208</v>
      </c>
      <c r="B140" s="126"/>
      <c r="C140" s="169" t="e">
        <f>#REF!+#REF!+#REF!</f>
        <v>#REF!</v>
      </c>
      <c r="D140" s="169" t="e">
        <f>#REF!+#REF!</f>
        <v>#REF!</v>
      </c>
      <c r="E140" s="169" t="e">
        <f>SUM(C140:D140)</f>
        <v>#REF!</v>
      </c>
    </row>
    <row r="141" spans="1:10" hidden="1">
      <c r="A141" s="126" t="s">
        <v>209</v>
      </c>
      <c r="B141" s="126"/>
    </row>
    <row r="142" spans="1:10" hidden="1">
      <c r="A142" s="126" t="s">
        <v>134</v>
      </c>
      <c r="B142" s="126"/>
    </row>
    <row r="143" spans="1:10" hidden="1">
      <c r="A143" s="126" t="s">
        <v>3</v>
      </c>
      <c r="B143" s="126"/>
    </row>
    <row r="144" spans="1:10" hidden="1"/>
    <row r="145" hidden="1"/>
    <row r="146" hidden="1"/>
  </sheetData>
  <mergeCells count="8">
    <mergeCell ref="S3:AG3"/>
    <mergeCell ref="A1:AG1"/>
    <mergeCell ref="A123:D123"/>
    <mergeCell ref="A3:A5"/>
    <mergeCell ref="C3:I3"/>
    <mergeCell ref="J3:J4"/>
    <mergeCell ref="R3:R4"/>
    <mergeCell ref="P4:P5"/>
  </mergeCells>
  <printOptions horizontalCentered="1"/>
  <pageMargins left="0.31496062992125984" right="0.31496062992125984" top="0.78740157480314965" bottom="0.59055118110236227" header="0.55118110236220474" footer="0.31496062992125984"/>
  <pageSetup paperSize="9" scale="75" orientation="landscape" r:id="rId1"/>
  <headerFooter alignWithMargins="0">
    <oddFooter>หน้าที่ &amp;P จาก &amp;N</oddFooter>
  </headerFooter>
  <rowBreaks count="6" manualBreakCount="6">
    <brk id="25" max="44" man="1"/>
    <brk id="54" max="44" man="1"/>
    <brk id="63" max="44" man="1"/>
    <brk id="75" max="44" man="1"/>
    <brk id="93" max="44" man="1"/>
    <brk id="120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H146"/>
  <sheetViews>
    <sheetView view="pageBreakPreview" zoomScale="110" zoomScaleNormal="110" zoomScaleSheetLayoutView="110" workbookViewId="0">
      <pane xSplit="1" ySplit="5" topLeftCell="J61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21"/>
  <cols>
    <col min="1" max="1" width="61.4257812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customWidth="1"/>
    <col min="11" max="16" width="0" style="421" hidden="1" customWidth="1"/>
    <col min="17" max="17" width="8.5703125" style="421" hidden="1" customWidth="1"/>
    <col min="18" max="18" width="12.28515625" style="421" customWidth="1"/>
    <col min="19" max="33" width="6.7109375" style="93" customWidth="1"/>
    <col min="34" max="16384" width="9.140625" style="93"/>
  </cols>
  <sheetData>
    <row r="1" spans="1:33">
      <c r="A1" s="787" t="s">
        <v>399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</row>
    <row r="2" spans="1:33">
      <c r="A2" s="743"/>
      <c r="B2" s="743"/>
      <c r="C2" s="743"/>
      <c r="D2" s="743"/>
      <c r="E2" s="743"/>
      <c r="F2" s="743"/>
      <c r="G2" s="743"/>
      <c r="H2" s="743"/>
      <c r="I2" s="743"/>
      <c r="J2" s="160"/>
      <c r="K2" s="160"/>
      <c r="L2" s="160"/>
      <c r="M2" s="160"/>
      <c r="N2" s="160"/>
      <c r="O2" s="160"/>
      <c r="P2" s="160"/>
      <c r="Q2" s="160"/>
      <c r="R2" s="160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3"/>
      <c r="AG2" s="743"/>
    </row>
    <row r="3" spans="1:33">
      <c r="A3" s="878" t="s">
        <v>0</v>
      </c>
      <c r="B3" s="622"/>
      <c r="C3" s="877" t="s">
        <v>131</v>
      </c>
      <c r="D3" s="877"/>
      <c r="E3" s="877"/>
      <c r="F3" s="877"/>
      <c r="G3" s="877"/>
      <c r="H3" s="877"/>
      <c r="I3" s="877"/>
      <c r="J3" s="879" t="s">
        <v>355</v>
      </c>
      <c r="K3" s="705"/>
      <c r="L3" s="705"/>
      <c r="M3" s="705"/>
      <c r="N3" s="705"/>
      <c r="O3" s="705"/>
      <c r="P3" s="705"/>
      <c r="Q3" s="705"/>
      <c r="R3" s="882" t="s">
        <v>363</v>
      </c>
      <c r="S3" s="917" t="s">
        <v>361</v>
      </c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9"/>
    </row>
    <row r="4" spans="1:33">
      <c r="A4" s="878"/>
      <c r="B4" s="724">
        <v>2559</v>
      </c>
      <c r="C4" s="724">
        <v>2558</v>
      </c>
      <c r="D4" s="724">
        <v>2557</v>
      </c>
      <c r="E4" s="724">
        <v>2556</v>
      </c>
      <c r="F4" s="722">
        <v>2555</v>
      </c>
      <c r="G4" s="722">
        <v>2554</v>
      </c>
      <c r="H4" s="722">
        <v>2553</v>
      </c>
      <c r="I4" s="722">
        <v>2551</v>
      </c>
      <c r="J4" s="879"/>
      <c r="K4" s="723" t="s">
        <v>84</v>
      </c>
      <c r="L4" s="723" t="s">
        <v>85</v>
      </c>
      <c r="M4" s="723" t="s">
        <v>86</v>
      </c>
      <c r="N4" s="723" t="s">
        <v>87</v>
      </c>
      <c r="O4" s="723" t="s">
        <v>88</v>
      </c>
      <c r="P4" s="880" t="s">
        <v>3</v>
      </c>
      <c r="Q4" s="705"/>
      <c r="R4" s="882"/>
      <c r="S4" s="699" t="s">
        <v>356</v>
      </c>
      <c r="T4" s="699" t="s">
        <v>357</v>
      </c>
      <c r="U4" s="699" t="s">
        <v>358</v>
      </c>
      <c r="V4" s="699" t="s">
        <v>359</v>
      </c>
      <c r="W4" s="699" t="s">
        <v>360</v>
      </c>
      <c r="X4" s="699" t="s">
        <v>386</v>
      </c>
      <c r="Y4" s="699" t="s">
        <v>387</v>
      </c>
      <c r="Z4" s="699" t="s">
        <v>388</v>
      </c>
      <c r="AA4" s="699" t="s">
        <v>389</v>
      </c>
      <c r="AB4" s="699" t="s">
        <v>390</v>
      </c>
      <c r="AC4" s="699" t="s">
        <v>391</v>
      </c>
      <c r="AD4" s="699" t="s">
        <v>392</v>
      </c>
      <c r="AE4" s="699" t="s">
        <v>393</v>
      </c>
      <c r="AF4" s="699" t="s">
        <v>394</v>
      </c>
      <c r="AG4" s="699" t="s">
        <v>395</v>
      </c>
    </row>
    <row r="5" spans="1:33" ht="12.75" hidden="1" customHeight="1">
      <c r="A5" s="878"/>
      <c r="B5" s="745"/>
      <c r="C5" s="745"/>
      <c r="D5" s="745"/>
      <c r="E5" s="745"/>
      <c r="F5" s="726" t="s">
        <v>1</v>
      </c>
      <c r="G5" s="726" t="s">
        <v>1</v>
      </c>
      <c r="H5" s="726"/>
      <c r="I5" s="726"/>
      <c r="J5" s="727" t="s">
        <v>1</v>
      </c>
      <c r="K5" s="727" t="s">
        <v>1</v>
      </c>
      <c r="L5" s="727"/>
      <c r="M5" s="727"/>
      <c r="N5" s="727"/>
      <c r="O5" s="727" t="s">
        <v>2</v>
      </c>
      <c r="P5" s="881"/>
      <c r="Q5" s="705"/>
      <c r="R5" s="705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</row>
    <row r="6" spans="1:33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711"/>
      <c r="K6" s="711"/>
      <c r="L6" s="711"/>
      <c r="M6" s="711"/>
      <c r="N6" s="711"/>
      <c r="O6" s="711"/>
      <c r="P6" s="711"/>
      <c r="Q6" s="491"/>
      <c r="R6" s="491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</row>
    <row r="7" spans="1:33">
      <c r="A7" s="659" t="s">
        <v>92</v>
      </c>
      <c r="B7" s="659"/>
      <c r="C7" s="659"/>
      <c r="D7" s="659"/>
      <c r="E7" s="659"/>
      <c r="F7" s="660"/>
      <c r="G7" s="660"/>
      <c r="H7" s="660"/>
      <c r="I7" s="660"/>
      <c r="J7" s="662">
        <f t="shared" ref="J7:J15" si="0">SUM(B7:I7)</f>
        <v>0</v>
      </c>
      <c r="K7" s="734">
        <v>52</v>
      </c>
      <c r="L7" s="734">
        <v>64</v>
      </c>
      <c r="M7" s="734">
        <v>20</v>
      </c>
      <c r="N7" s="734">
        <v>54</v>
      </c>
      <c r="O7" s="734"/>
      <c r="P7" s="662">
        <f t="shared" ref="P7:P25" si="1">SUM(J7:O7)</f>
        <v>190</v>
      </c>
      <c r="Q7" s="701" t="s">
        <v>39</v>
      </c>
      <c r="R7" s="701">
        <f>B7</f>
        <v>0</v>
      </c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</row>
    <row r="8" spans="1:33" s="461" customFormat="1">
      <c r="A8" s="250" t="s">
        <v>93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713">
        <v>17</v>
      </c>
      <c r="L8" s="252"/>
      <c r="M8" s="252"/>
      <c r="N8" s="252"/>
      <c r="O8" s="252"/>
      <c r="P8" s="252">
        <f t="shared" si="1"/>
        <v>17</v>
      </c>
      <c r="Q8" s="614" t="s">
        <v>39</v>
      </c>
      <c r="R8" s="614">
        <f>B8</f>
        <v>0</v>
      </c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</row>
    <row r="9" spans="1:33">
      <c r="A9" s="250" t="s">
        <v>94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713">
        <v>27</v>
      </c>
      <c r="L9" s="252"/>
      <c r="M9" s="252"/>
      <c r="N9" s="252"/>
      <c r="O9" s="252"/>
      <c r="P9" s="252">
        <f t="shared" si="1"/>
        <v>27</v>
      </c>
      <c r="Q9" s="614" t="s">
        <v>39</v>
      </c>
      <c r="R9" s="614">
        <f t="shared" ref="R9:R14" si="2">B9</f>
        <v>0</v>
      </c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</row>
    <row r="10" spans="1:33" s="461" customFormat="1">
      <c r="A10" s="250" t="s">
        <v>112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614" t="s">
        <v>41</v>
      </c>
      <c r="R10" s="614">
        <f t="shared" si="2"/>
        <v>0</v>
      </c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</row>
    <row r="11" spans="1:33">
      <c r="A11" s="250" t="s">
        <v>113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614" t="s">
        <v>41</v>
      </c>
      <c r="R11" s="614">
        <f t="shared" si="2"/>
        <v>0</v>
      </c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1"/>
      <c r="AE11" s="691"/>
      <c r="AF11" s="691"/>
      <c r="AG11" s="691"/>
    </row>
    <row r="12" spans="1:33">
      <c r="A12" s="250" t="s">
        <v>114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614"/>
      <c r="R12" s="614">
        <f t="shared" si="2"/>
        <v>0</v>
      </c>
      <c r="S12" s="691"/>
      <c r="T12" s="691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</row>
    <row r="13" spans="1:33">
      <c r="A13" s="250" t="s">
        <v>115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713"/>
      <c r="L13" s="252"/>
      <c r="M13" s="252"/>
      <c r="N13" s="252"/>
      <c r="O13" s="252"/>
      <c r="P13" s="252">
        <f t="shared" si="1"/>
        <v>0</v>
      </c>
      <c r="Q13" s="767">
        <v>526</v>
      </c>
      <c r="R13" s="614">
        <f t="shared" si="2"/>
        <v>0</v>
      </c>
      <c r="S13" s="691"/>
      <c r="T13" s="691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</row>
    <row r="14" spans="1:33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767">
        <v>116</v>
      </c>
      <c r="R14" s="614">
        <f t="shared" si="2"/>
        <v>0</v>
      </c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</row>
    <row r="15" spans="1:33" s="461" customFormat="1">
      <c r="A15" s="250" t="s">
        <v>10</v>
      </c>
      <c r="B15" s="250"/>
      <c r="C15" s="250"/>
      <c r="D15" s="250"/>
      <c r="E15" s="250"/>
      <c r="F15" s="368"/>
      <c r="G15" s="368"/>
      <c r="H15" s="368"/>
      <c r="I15" s="368"/>
      <c r="J15" s="252">
        <f t="shared" si="0"/>
        <v>0</v>
      </c>
      <c r="K15" s="713">
        <v>24</v>
      </c>
      <c r="L15" s="252"/>
      <c r="M15" s="252"/>
      <c r="N15" s="252"/>
      <c r="O15" s="252"/>
      <c r="P15" s="252">
        <f t="shared" si="1"/>
        <v>24</v>
      </c>
      <c r="Q15" s="614"/>
      <c r="R15" s="614">
        <f>B15</f>
        <v>0</v>
      </c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</row>
    <row r="16" spans="1:33" hidden="1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713">
        <v>142</v>
      </c>
      <c r="L16" s="713">
        <v>334</v>
      </c>
      <c r="M16" s="713">
        <v>9</v>
      </c>
      <c r="N16" s="252">
        <v>1</v>
      </c>
      <c r="O16" s="252"/>
      <c r="P16" s="252">
        <f t="shared" si="1"/>
        <v>486</v>
      </c>
      <c r="Q16" s="614" t="s">
        <v>39</v>
      </c>
      <c r="R16" s="614"/>
      <c r="S16" s="691"/>
      <c r="T16" s="691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</row>
    <row r="17" spans="1:34" hidden="1">
      <c r="A17" s="250" t="s">
        <v>7</v>
      </c>
      <c r="B17" s="250"/>
      <c r="C17" s="250"/>
      <c r="D17" s="250"/>
      <c r="E17" s="250"/>
      <c r="F17" s="368"/>
      <c r="G17" s="368"/>
      <c r="H17" s="368"/>
      <c r="I17" s="368"/>
      <c r="J17" s="252"/>
      <c r="K17" s="713">
        <v>36</v>
      </c>
      <c r="L17" s="252"/>
      <c r="M17" s="252"/>
      <c r="N17" s="252"/>
      <c r="O17" s="252"/>
      <c r="P17" s="252">
        <f t="shared" si="1"/>
        <v>36</v>
      </c>
      <c r="Q17" s="614"/>
      <c r="R17" s="614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</row>
    <row r="18" spans="1:34" hidden="1">
      <c r="A18" s="250"/>
      <c r="B18" s="250"/>
      <c r="C18" s="250"/>
      <c r="D18" s="250"/>
      <c r="E18" s="250"/>
      <c r="F18" s="368"/>
      <c r="G18" s="368"/>
      <c r="H18" s="368"/>
      <c r="I18" s="368"/>
      <c r="J18" s="252"/>
      <c r="K18" s="713">
        <v>42</v>
      </c>
      <c r="L18" s="713">
        <v>48</v>
      </c>
      <c r="M18" s="713">
        <v>7</v>
      </c>
      <c r="N18" s="252"/>
      <c r="O18" s="252"/>
      <c r="P18" s="252">
        <f t="shared" si="1"/>
        <v>97</v>
      </c>
      <c r="Q18" s="614" t="s">
        <v>41</v>
      </c>
      <c r="R18" s="614"/>
      <c r="S18" s="691"/>
      <c r="T18" s="691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</row>
    <row r="19" spans="1:34" hidden="1">
      <c r="A19" s="250" t="s">
        <v>9</v>
      </c>
      <c r="B19" s="250"/>
      <c r="C19" s="250"/>
      <c r="D19" s="250"/>
      <c r="E19" s="250"/>
      <c r="F19" s="368"/>
      <c r="G19" s="368"/>
      <c r="H19" s="368"/>
      <c r="I19" s="368"/>
      <c r="J19" s="252"/>
      <c r="K19" s="713">
        <v>36</v>
      </c>
      <c r="L19" s="252"/>
      <c r="M19" s="252"/>
      <c r="N19" s="252"/>
      <c r="O19" s="252"/>
      <c r="P19" s="252">
        <f t="shared" si="1"/>
        <v>36</v>
      </c>
      <c r="Q19" s="614"/>
      <c r="R19" s="614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</row>
    <row r="20" spans="1:34">
      <c r="A20" s="681" t="s">
        <v>396</v>
      </c>
      <c r="B20" s="250"/>
      <c r="C20" s="250"/>
      <c r="D20" s="250"/>
      <c r="E20" s="250"/>
      <c r="F20" s="368"/>
      <c r="G20" s="368"/>
      <c r="H20" s="368"/>
      <c r="I20" s="368"/>
      <c r="J20" s="252"/>
      <c r="K20" s="713"/>
      <c r="L20" s="252"/>
      <c r="M20" s="252"/>
      <c r="N20" s="252"/>
      <c r="O20" s="252"/>
      <c r="P20" s="252"/>
      <c r="Q20" s="614"/>
      <c r="R20" s="614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</row>
    <row r="21" spans="1:34">
      <c r="A21" s="681"/>
      <c r="B21" s="250"/>
      <c r="C21" s="250"/>
      <c r="D21" s="250"/>
      <c r="E21" s="250"/>
      <c r="F21" s="368"/>
      <c r="G21" s="368"/>
      <c r="H21" s="368"/>
      <c r="I21" s="368"/>
      <c r="J21" s="252"/>
      <c r="K21" s="713"/>
      <c r="L21" s="252"/>
      <c r="M21" s="252"/>
      <c r="N21" s="252"/>
      <c r="O21" s="252"/>
      <c r="P21" s="252"/>
      <c r="Q21" s="614"/>
      <c r="R21" s="614"/>
      <c r="S21" s="691"/>
      <c r="T21" s="691"/>
      <c r="U21" s="691"/>
      <c r="V21" s="691"/>
      <c r="W21" s="691"/>
      <c r="X21" s="691"/>
      <c r="Y21" s="691"/>
      <c r="Z21" s="691"/>
      <c r="AA21" s="691"/>
      <c r="AB21" s="691"/>
      <c r="AC21" s="691"/>
      <c r="AD21" s="691"/>
      <c r="AE21" s="691"/>
      <c r="AF21" s="691"/>
      <c r="AG21" s="691"/>
    </row>
    <row r="22" spans="1:34">
      <c r="A22" s="250"/>
      <c r="B22" s="250"/>
      <c r="C22" s="250"/>
      <c r="D22" s="250"/>
      <c r="E22" s="250"/>
      <c r="F22" s="368"/>
      <c r="G22" s="368"/>
      <c r="H22" s="368"/>
      <c r="I22" s="368"/>
      <c r="J22" s="252"/>
      <c r="K22" s="713"/>
      <c r="L22" s="252"/>
      <c r="M22" s="252"/>
      <c r="N22" s="252"/>
      <c r="O22" s="252"/>
      <c r="P22" s="252"/>
      <c r="Q22" s="614"/>
      <c r="R22" s="614"/>
      <c r="S22" s="691"/>
      <c r="T22" s="691"/>
      <c r="U22" s="691"/>
      <c r="V22" s="691"/>
      <c r="W22" s="691"/>
      <c r="X22" s="691"/>
      <c r="Y22" s="691"/>
      <c r="Z22" s="691"/>
      <c r="AA22" s="691"/>
      <c r="AB22" s="691"/>
      <c r="AC22" s="691"/>
      <c r="AD22" s="691"/>
      <c r="AE22" s="691"/>
      <c r="AF22" s="691"/>
      <c r="AG22" s="691"/>
    </row>
    <row r="23" spans="1:34">
      <c r="A23" s="250"/>
      <c r="B23" s="250"/>
      <c r="C23" s="250"/>
      <c r="D23" s="250"/>
      <c r="E23" s="250"/>
      <c r="F23" s="368"/>
      <c r="G23" s="368"/>
      <c r="H23" s="368"/>
      <c r="I23" s="368"/>
      <c r="J23" s="252"/>
      <c r="K23" s="713"/>
      <c r="L23" s="252"/>
      <c r="M23" s="252"/>
      <c r="N23" s="252"/>
      <c r="O23" s="252"/>
      <c r="P23" s="252"/>
      <c r="Q23" s="614"/>
      <c r="R23" s="614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1"/>
    </row>
    <row r="24" spans="1:34">
      <c r="A24" s="665"/>
      <c r="B24" s="665"/>
      <c r="C24" s="665"/>
      <c r="D24" s="665"/>
      <c r="E24" s="665"/>
      <c r="F24" s="666"/>
      <c r="G24" s="666"/>
      <c r="H24" s="666"/>
      <c r="I24" s="666"/>
      <c r="J24" s="668"/>
      <c r="K24" s="768"/>
      <c r="L24" s="668"/>
      <c r="M24" s="668"/>
      <c r="N24" s="668"/>
      <c r="O24" s="668"/>
      <c r="P24" s="668"/>
      <c r="Q24" s="737"/>
      <c r="R24" s="737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</row>
    <row r="25" spans="1:34">
      <c r="A25" s="95" t="s">
        <v>3</v>
      </c>
      <c r="B25" s="95">
        <f t="shared" ref="B25:O25" si="3">SUM(B7:B19)</f>
        <v>0</v>
      </c>
      <c r="C25" s="95">
        <f t="shared" si="3"/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106">
        <f t="shared" si="3"/>
        <v>0</v>
      </c>
      <c r="K25" s="106">
        <f t="shared" si="3"/>
        <v>395</v>
      </c>
      <c r="L25" s="106">
        <f t="shared" si="3"/>
        <v>446</v>
      </c>
      <c r="M25" s="106">
        <f t="shared" si="3"/>
        <v>36</v>
      </c>
      <c r="N25" s="106">
        <f t="shared" si="3"/>
        <v>55</v>
      </c>
      <c r="O25" s="106">
        <f t="shared" si="3"/>
        <v>0</v>
      </c>
      <c r="P25" s="715">
        <f t="shared" si="1"/>
        <v>932</v>
      </c>
      <c r="Q25" s="106">
        <f>1563+44+26+48+23+18+56+38</f>
        <v>1816</v>
      </c>
      <c r="R25" s="106">
        <f t="shared" ref="R25:AG25" si="4">SUM(R7:R19)</f>
        <v>0</v>
      </c>
      <c r="S25" s="106">
        <f t="shared" si="4"/>
        <v>0</v>
      </c>
      <c r="T25" s="106">
        <f t="shared" si="4"/>
        <v>0</v>
      </c>
      <c r="U25" s="106">
        <f t="shared" si="4"/>
        <v>0</v>
      </c>
      <c r="V25" s="106">
        <f t="shared" si="4"/>
        <v>0</v>
      </c>
      <c r="W25" s="106">
        <f t="shared" si="4"/>
        <v>0</v>
      </c>
      <c r="X25" s="106">
        <f t="shared" si="4"/>
        <v>0</v>
      </c>
      <c r="Y25" s="106">
        <f t="shared" si="4"/>
        <v>0</v>
      </c>
      <c r="Z25" s="106">
        <f t="shared" si="4"/>
        <v>0</v>
      </c>
      <c r="AA25" s="106">
        <f t="shared" si="4"/>
        <v>0</v>
      </c>
      <c r="AB25" s="106">
        <f t="shared" si="4"/>
        <v>0</v>
      </c>
      <c r="AC25" s="106">
        <f t="shared" si="4"/>
        <v>0</v>
      </c>
      <c r="AD25" s="106">
        <f t="shared" si="4"/>
        <v>0</v>
      </c>
      <c r="AE25" s="106">
        <f t="shared" si="4"/>
        <v>0</v>
      </c>
      <c r="AF25" s="106">
        <f t="shared" si="4"/>
        <v>0</v>
      </c>
      <c r="AG25" s="106">
        <f t="shared" si="4"/>
        <v>0</v>
      </c>
    </row>
    <row r="26" spans="1:34">
      <c r="A26" s="101" t="s">
        <v>15</v>
      </c>
      <c r="B26" s="101"/>
      <c r="C26" s="101"/>
      <c r="D26" s="101"/>
      <c r="E26" s="101"/>
      <c r="F26" s="118"/>
      <c r="G26" s="118"/>
      <c r="H26" s="118"/>
      <c r="I26" s="118"/>
      <c r="J26" s="174"/>
      <c r="K26" s="174"/>
      <c r="L26" s="174"/>
      <c r="M26" s="174"/>
      <c r="N26" s="174"/>
      <c r="O26" s="174"/>
      <c r="P26" s="174"/>
      <c r="Q26" s="491">
        <f>1844-1816</f>
        <v>28</v>
      </c>
      <c r="R26" s="491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</row>
    <row r="27" spans="1:34">
      <c r="A27" s="398" t="s">
        <v>125</v>
      </c>
      <c r="B27" s="398"/>
      <c r="C27" s="398"/>
      <c r="D27" s="398"/>
      <c r="E27" s="398">
        <v>17</v>
      </c>
      <c r="F27" s="383">
        <v>3</v>
      </c>
      <c r="G27" s="735"/>
      <c r="H27" s="771"/>
      <c r="I27" s="735"/>
      <c r="J27" s="662"/>
      <c r="K27" s="662"/>
      <c r="L27" s="662"/>
      <c r="M27" s="662"/>
      <c r="N27" s="662"/>
      <c r="O27" s="662"/>
      <c r="P27" s="662"/>
      <c r="Q27" s="701"/>
      <c r="R27" s="701"/>
      <c r="S27" s="735"/>
      <c r="T27" s="735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</row>
    <row r="28" spans="1:34">
      <c r="A28" s="100" t="s">
        <v>354</v>
      </c>
      <c r="B28" s="100">
        <v>14</v>
      </c>
      <c r="C28" s="100"/>
      <c r="D28" s="100"/>
      <c r="E28" s="100"/>
      <c r="F28" s="386"/>
      <c r="G28" s="732"/>
      <c r="H28" s="732"/>
      <c r="I28" s="691"/>
      <c r="J28" s="252"/>
      <c r="K28" s="252"/>
      <c r="L28" s="252"/>
      <c r="M28" s="252"/>
      <c r="N28" s="252"/>
      <c r="O28" s="252"/>
      <c r="P28" s="252"/>
      <c r="Q28" s="614"/>
      <c r="R28" s="614"/>
      <c r="S28" s="691"/>
      <c r="T28" s="691"/>
      <c r="U28" s="691"/>
      <c r="V28" s="691"/>
      <c r="W28" s="691"/>
      <c r="X28" s="691"/>
      <c r="Y28" s="691"/>
      <c r="Z28" s="691"/>
      <c r="AA28" s="691"/>
      <c r="AB28" s="691"/>
      <c r="AC28" s="691"/>
      <c r="AD28" s="691"/>
      <c r="AE28" s="691"/>
      <c r="AF28" s="691"/>
      <c r="AG28" s="691"/>
    </row>
    <row r="29" spans="1:34">
      <c r="A29" s="100" t="s">
        <v>381</v>
      </c>
      <c r="B29" s="100"/>
      <c r="C29" s="100"/>
      <c r="D29" s="100"/>
      <c r="E29" s="100"/>
      <c r="F29" s="386"/>
      <c r="G29" s="386"/>
      <c r="H29" s="386"/>
      <c r="I29" s="386"/>
      <c r="J29" s="252"/>
      <c r="K29" s="252"/>
      <c r="L29" s="252"/>
      <c r="M29" s="252"/>
      <c r="N29" s="252"/>
      <c r="O29" s="252"/>
      <c r="P29" s="252"/>
      <c r="Q29" s="614"/>
      <c r="R29" s="614"/>
      <c r="S29" s="691"/>
      <c r="T29" s="691"/>
      <c r="U29" s="691"/>
      <c r="V29" s="691"/>
      <c r="W29" s="691"/>
      <c r="X29" s="691"/>
      <c r="Y29" s="691"/>
      <c r="Z29" s="691"/>
      <c r="AA29" s="691"/>
      <c r="AB29" s="691"/>
      <c r="AC29" s="691"/>
      <c r="AD29" s="691"/>
      <c r="AE29" s="691"/>
      <c r="AF29" s="691"/>
      <c r="AG29" s="691"/>
      <c r="AH29" s="461" t="s">
        <v>369</v>
      </c>
    </row>
    <row r="30" spans="1:34" hidden="1">
      <c r="A30" s="100" t="s">
        <v>159</v>
      </c>
      <c r="B30" s="100"/>
      <c r="C30" s="100"/>
      <c r="D30" s="100"/>
      <c r="E30" s="100"/>
      <c r="F30" s="386"/>
      <c r="G30" s="386"/>
      <c r="H30" s="386"/>
      <c r="I30" s="386"/>
      <c r="J30" s="252"/>
      <c r="K30" s="252"/>
      <c r="L30" s="252"/>
      <c r="M30" s="252"/>
      <c r="N30" s="252"/>
      <c r="O30" s="252"/>
      <c r="P30" s="252"/>
      <c r="Q30" s="614"/>
      <c r="R30" s="614"/>
      <c r="S30" s="691"/>
      <c r="T30" s="691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</row>
    <row r="31" spans="1:34" hidden="1">
      <c r="A31" s="100" t="s">
        <v>160</v>
      </c>
      <c r="B31" s="100"/>
      <c r="C31" s="100"/>
      <c r="D31" s="100"/>
      <c r="E31" s="100"/>
      <c r="F31" s="386"/>
      <c r="G31" s="386"/>
      <c r="H31" s="386"/>
      <c r="I31" s="386"/>
      <c r="J31" s="252"/>
      <c r="K31" s="252"/>
      <c r="L31" s="252"/>
      <c r="M31" s="252"/>
      <c r="N31" s="252"/>
      <c r="O31" s="252"/>
      <c r="P31" s="252"/>
      <c r="Q31" s="614"/>
      <c r="R31" s="614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</row>
    <row r="32" spans="1:34" hidden="1">
      <c r="A32" s="100" t="s">
        <v>145</v>
      </c>
      <c r="B32" s="100"/>
      <c r="C32" s="100"/>
      <c r="D32" s="100"/>
      <c r="E32" s="100"/>
      <c r="F32" s="386"/>
      <c r="G32" s="386"/>
      <c r="H32" s="386"/>
      <c r="I32" s="386"/>
      <c r="J32" s="252"/>
      <c r="K32" s="713"/>
      <c r="L32" s="713"/>
      <c r="M32" s="252"/>
      <c r="N32" s="252"/>
      <c r="O32" s="252"/>
      <c r="P32" s="252"/>
      <c r="Q32" s="614"/>
      <c r="R32" s="614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1"/>
      <c r="AG32" s="691"/>
    </row>
    <row r="33" spans="1:34" hidden="1">
      <c r="A33" s="100" t="s">
        <v>139</v>
      </c>
      <c r="B33" s="100"/>
      <c r="C33" s="100"/>
      <c r="D33" s="100"/>
      <c r="E33" s="100"/>
      <c r="F33" s="386"/>
      <c r="G33" s="386"/>
      <c r="H33" s="386"/>
      <c r="I33" s="386"/>
      <c r="J33" s="252"/>
      <c r="K33" s="713"/>
      <c r="L33" s="713"/>
      <c r="M33" s="252"/>
      <c r="N33" s="252"/>
      <c r="O33" s="252"/>
      <c r="P33" s="252"/>
      <c r="Q33" s="614"/>
      <c r="R33" s="614"/>
      <c r="S33" s="691"/>
      <c r="T33" s="691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</row>
    <row r="34" spans="1:34" hidden="1">
      <c r="A34" s="100" t="s">
        <v>147</v>
      </c>
      <c r="B34" s="100"/>
      <c r="C34" s="100"/>
      <c r="D34" s="100"/>
      <c r="E34" s="100"/>
      <c r="F34" s="386"/>
      <c r="G34" s="386"/>
      <c r="H34" s="386"/>
      <c r="I34" s="386"/>
      <c r="J34" s="252"/>
      <c r="K34" s="713"/>
      <c r="L34" s="713"/>
      <c r="M34" s="252"/>
      <c r="N34" s="252"/>
      <c r="O34" s="252"/>
      <c r="P34" s="252"/>
      <c r="Q34" s="614"/>
      <c r="R34" s="614"/>
      <c r="S34" s="691"/>
      <c r="T34" s="691"/>
      <c r="U34" s="691"/>
      <c r="V34" s="691"/>
      <c r="W34" s="691"/>
      <c r="X34" s="691"/>
      <c r="Y34" s="691"/>
      <c r="Z34" s="691"/>
      <c r="AA34" s="691"/>
      <c r="AB34" s="691"/>
      <c r="AC34" s="691"/>
      <c r="AD34" s="691"/>
      <c r="AE34" s="691"/>
      <c r="AF34" s="691"/>
      <c r="AG34" s="691"/>
    </row>
    <row r="35" spans="1:34">
      <c r="A35" s="100" t="s">
        <v>380</v>
      </c>
      <c r="B35" s="100"/>
      <c r="C35" s="100"/>
      <c r="D35" s="100"/>
      <c r="E35" s="100"/>
      <c r="F35" s="386"/>
      <c r="G35" s="386"/>
      <c r="H35" s="386"/>
      <c r="I35" s="386"/>
      <c r="J35" s="252"/>
      <c r="K35" s="252"/>
      <c r="L35" s="252"/>
      <c r="M35" s="252"/>
      <c r="N35" s="252"/>
      <c r="O35" s="252"/>
      <c r="P35" s="252"/>
      <c r="Q35" s="614"/>
      <c r="R35" s="614"/>
      <c r="S35" s="691"/>
      <c r="T35" s="691"/>
      <c r="U35" s="691"/>
      <c r="V35" s="691"/>
      <c r="W35" s="691"/>
      <c r="X35" s="691"/>
      <c r="Y35" s="691"/>
      <c r="Z35" s="691"/>
      <c r="AA35" s="691"/>
      <c r="AB35" s="691"/>
      <c r="AC35" s="691"/>
      <c r="AD35" s="691"/>
      <c r="AE35" s="691"/>
      <c r="AF35" s="691"/>
      <c r="AG35" s="691"/>
      <c r="AH35" s="461" t="s">
        <v>369</v>
      </c>
    </row>
    <row r="36" spans="1:34">
      <c r="A36" s="100" t="s">
        <v>315</v>
      </c>
      <c r="B36" s="100">
        <v>13</v>
      </c>
      <c r="C36" s="100">
        <v>11</v>
      </c>
      <c r="D36" s="100"/>
      <c r="E36" s="100"/>
      <c r="F36" s="386"/>
      <c r="G36" s="386"/>
      <c r="H36" s="386"/>
      <c r="I36" s="386"/>
      <c r="J36" s="252"/>
      <c r="K36" s="252"/>
      <c r="L36" s="252"/>
      <c r="M36" s="252"/>
      <c r="N36" s="252"/>
      <c r="O36" s="252"/>
      <c r="P36" s="252"/>
      <c r="Q36" s="614"/>
      <c r="R36" s="614"/>
      <c r="S36" s="691"/>
      <c r="T36" s="691"/>
      <c r="U36" s="691"/>
      <c r="V36" s="691"/>
      <c r="W36" s="691"/>
      <c r="X36" s="691"/>
      <c r="Y36" s="691"/>
      <c r="Z36" s="691"/>
      <c r="AA36" s="691"/>
      <c r="AB36" s="691"/>
      <c r="AC36" s="691"/>
      <c r="AD36" s="691"/>
      <c r="AE36" s="691"/>
      <c r="AF36" s="691"/>
      <c r="AG36" s="691"/>
    </row>
    <row r="37" spans="1:34">
      <c r="A37" s="100" t="s">
        <v>383</v>
      </c>
      <c r="B37" s="100">
        <v>14</v>
      </c>
      <c r="C37" s="100"/>
      <c r="D37" s="100"/>
      <c r="E37" s="100"/>
      <c r="F37" s="386"/>
      <c r="G37" s="386"/>
      <c r="H37" s="386"/>
      <c r="I37" s="386"/>
      <c r="J37" s="252"/>
      <c r="K37" s="252"/>
      <c r="L37" s="252"/>
      <c r="M37" s="252"/>
      <c r="N37" s="252"/>
      <c r="O37" s="252"/>
      <c r="P37" s="252"/>
      <c r="Q37" s="614"/>
      <c r="R37" s="614"/>
      <c r="S37" s="691"/>
      <c r="T37" s="739"/>
      <c r="U37" s="739"/>
      <c r="V37" s="739"/>
      <c r="W37" s="739"/>
      <c r="X37" s="691"/>
      <c r="Y37" s="739"/>
      <c r="Z37" s="739"/>
      <c r="AA37" s="739"/>
      <c r="AB37" s="739"/>
      <c r="AC37" s="691"/>
      <c r="AD37" s="739"/>
      <c r="AE37" s="739"/>
      <c r="AF37" s="739"/>
      <c r="AG37" s="739"/>
    </row>
    <row r="38" spans="1:34">
      <c r="A38" s="100" t="s">
        <v>382</v>
      </c>
      <c r="B38" s="100">
        <v>14</v>
      </c>
      <c r="C38" s="100"/>
      <c r="D38" s="100"/>
      <c r="E38" s="100"/>
      <c r="F38" s="386"/>
      <c r="G38" s="386"/>
      <c r="H38" s="386"/>
      <c r="I38" s="386"/>
      <c r="J38" s="252"/>
      <c r="K38" s="252"/>
      <c r="L38" s="252"/>
      <c r="M38" s="252"/>
      <c r="N38" s="252"/>
      <c r="O38" s="252"/>
      <c r="P38" s="252"/>
      <c r="Q38" s="614"/>
      <c r="R38" s="614"/>
      <c r="S38" s="691"/>
      <c r="T38" s="739"/>
      <c r="U38" s="739"/>
      <c r="V38" s="739"/>
      <c r="W38" s="739"/>
      <c r="X38" s="691"/>
      <c r="Y38" s="739"/>
      <c r="Z38" s="739"/>
      <c r="AA38" s="739"/>
      <c r="AB38" s="739"/>
      <c r="AC38" s="691"/>
      <c r="AD38" s="739"/>
      <c r="AE38" s="739"/>
      <c r="AF38" s="739"/>
      <c r="AG38" s="739"/>
    </row>
    <row r="39" spans="1:34">
      <c r="A39" s="100" t="s">
        <v>178</v>
      </c>
      <c r="B39" s="100"/>
      <c r="C39" s="100">
        <v>7</v>
      </c>
      <c r="D39" s="100"/>
      <c r="E39" s="100"/>
      <c r="F39" s="386">
        <v>1</v>
      </c>
      <c r="G39" s="386"/>
      <c r="H39" s="386"/>
      <c r="I39" s="386"/>
      <c r="J39" s="252"/>
      <c r="K39" s="252"/>
      <c r="L39" s="252"/>
      <c r="M39" s="252"/>
      <c r="N39" s="252"/>
      <c r="O39" s="252"/>
      <c r="P39" s="252"/>
      <c r="Q39" s="614"/>
      <c r="R39" s="614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</row>
    <row r="40" spans="1:34">
      <c r="A40" s="100" t="s">
        <v>179</v>
      </c>
      <c r="B40" s="100">
        <v>14</v>
      </c>
      <c r="C40" s="100">
        <v>21</v>
      </c>
      <c r="D40" s="100">
        <v>5</v>
      </c>
      <c r="E40" s="100">
        <v>3</v>
      </c>
      <c r="F40" s="386">
        <v>1</v>
      </c>
      <c r="G40" s="386"/>
      <c r="H40" s="386"/>
      <c r="I40" s="386"/>
      <c r="J40" s="252"/>
      <c r="K40" s="252"/>
      <c r="L40" s="252"/>
      <c r="M40" s="252"/>
      <c r="N40" s="252"/>
      <c r="O40" s="252"/>
      <c r="P40" s="252"/>
      <c r="Q40" s="614"/>
      <c r="R40" s="614"/>
      <c r="S40" s="691"/>
      <c r="T40" s="691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</row>
    <row r="41" spans="1:34" hidden="1">
      <c r="A41" s="100" t="s">
        <v>252</v>
      </c>
      <c r="B41" s="100"/>
      <c r="C41" s="100"/>
      <c r="D41" s="100"/>
      <c r="E41" s="100"/>
      <c r="F41" s="386"/>
      <c r="G41" s="386"/>
      <c r="H41" s="386"/>
      <c r="I41" s="386"/>
      <c r="J41" s="252"/>
      <c r="K41" s="252"/>
      <c r="L41" s="252"/>
      <c r="M41" s="252"/>
      <c r="N41" s="252"/>
      <c r="O41" s="252"/>
      <c r="P41" s="252"/>
      <c r="Q41" s="614"/>
      <c r="R41" s="614"/>
      <c r="S41" s="691"/>
      <c r="T41" s="691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</row>
    <row r="42" spans="1:34">
      <c r="A42" s="100" t="s">
        <v>384</v>
      </c>
      <c r="B42" s="100">
        <v>13</v>
      </c>
      <c r="C42" s="100">
        <v>11</v>
      </c>
      <c r="D42" s="100"/>
      <c r="E42" s="100"/>
      <c r="F42" s="386"/>
      <c r="G42" s="386"/>
      <c r="H42" s="386"/>
      <c r="I42" s="386"/>
      <c r="J42" s="252"/>
      <c r="K42" s="252"/>
      <c r="L42" s="252"/>
      <c r="M42" s="252"/>
      <c r="N42" s="252"/>
      <c r="O42" s="252"/>
      <c r="P42" s="252"/>
      <c r="Q42" s="614"/>
      <c r="R42" s="614"/>
      <c r="S42" s="691"/>
      <c r="T42" s="691"/>
      <c r="U42" s="739"/>
      <c r="V42" s="739"/>
      <c r="W42" s="739"/>
      <c r="X42" s="691"/>
      <c r="Y42" s="691"/>
      <c r="Z42" s="739"/>
      <c r="AA42" s="739"/>
      <c r="AB42" s="739"/>
      <c r="AC42" s="691"/>
      <c r="AD42" s="691"/>
      <c r="AE42" s="739"/>
      <c r="AF42" s="739"/>
      <c r="AG42" s="739"/>
      <c r="AH42" s="461" t="s">
        <v>369</v>
      </c>
    </row>
    <row r="43" spans="1:34">
      <c r="A43" s="100" t="s">
        <v>385</v>
      </c>
      <c r="B43" s="100"/>
      <c r="C43" s="100"/>
      <c r="D43" s="100"/>
      <c r="E43" s="100"/>
      <c r="F43" s="386"/>
      <c r="G43" s="386"/>
      <c r="H43" s="386"/>
      <c r="I43" s="386"/>
      <c r="J43" s="252"/>
      <c r="K43" s="252"/>
      <c r="L43" s="252"/>
      <c r="M43" s="252"/>
      <c r="N43" s="252"/>
      <c r="O43" s="252"/>
      <c r="P43" s="252"/>
      <c r="Q43" s="614"/>
      <c r="R43" s="614"/>
      <c r="S43" s="691"/>
      <c r="T43" s="691"/>
      <c r="U43" s="691"/>
      <c r="V43" s="691"/>
      <c r="W43" s="691"/>
      <c r="X43" s="691"/>
      <c r="Y43" s="691"/>
      <c r="Z43" s="691"/>
      <c r="AA43" s="691"/>
      <c r="AB43" s="691"/>
      <c r="AC43" s="691"/>
      <c r="AD43" s="691"/>
      <c r="AE43" s="691"/>
      <c r="AF43" s="691"/>
      <c r="AG43" s="691"/>
      <c r="AH43" s="461" t="s">
        <v>369</v>
      </c>
    </row>
    <row r="44" spans="1:34">
      <c r="A44" s="100" t="s">
        <v>342</v>
      </c>
      <c r="B44" s="100"/>
      <c r="C44" s="100"/>
      <c r="D44" s="100"/>
      <c r="E44" s="100"/>
      <c r="F44" s="386"/>
      <c r="G44" s="386"/>
      <c r="H44" s="386"/>
      <c r="I44" s="386"/>
      <c r="J44" s="252"/>
      <c r="K44" s="252"/>
      <c r="L44" s="252"/>
      <c r="M44" s="252"/>
      <c r="N44" s="252"/>
      <c r="O44" s="252"/>
      <c r="P44" s="252"/>
      <c r="Q44" s="614"/>
      <c r="R44" s="614"/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</row>
    <row r="45" spans="1:34">
      <c r="A45" s="100" t="s">
        <v>298</v>
      </c>
      <c r="B45" s="100"/>
      <c r="C45" s="100"/>
      <c r="D45" s="100"/>
      <c r="E45" s="100">
        <v>3</v>
      </c>
      <c r="F45" s="386"/>
      <c r="G45" s="386"/>
      <c r="H45" s="386"/>
      <c r="I45" s="386"/>
      <c r="J45" s="252"/>
      <c r="K45" s="713"/>
      <c r="L45" s="713"/>
      <c r="M45" s="252"/>
      <c r="N45" s="252"/>
      <c r="O45" s="252"/>
      <c r="P45" s="252"/>
      <c r="Q45" s="614"/>
      <c r="R45" s="614"/>
      <c r="S45" s="691"/>
      <c r="T45" s="691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</row>
    <row r="46" spans="1:34">
      <c r="A46" s="681" t="s">
        <v>396</v>
      </c>
      <c r="B46" s="100"/>
      <c r="C46" s="100"/>
      <c r="D46" s="100"/>
      <c r="E46" s="100"/>
      <c r="F46" s="386"/>
      <c r="G46" s="386"/>
      <c r="H46" s="386"/>
      <c r="I46" s="386"/>
      <c r="J46" s="252"/>
      <c r="K46" s="713"/>
      <c r="L46" s="713"/>
      <c r="M46" s="252"/>
      <c r="N46" s="252"/>
      <c r="O46" s="252"/>
      <c r="P46" s="252"/>
      <c r="Q46" s="614"/>
      <c r="R46" s="614"/>
      <c r="S46" s="691"/>
      <c r="T46" s="691"/>
      <c r="U46" s="691"/>
      <c r="V46" s="691"/>
      <c r="W46" s="691"/>
      <c r="X46" s="691"/>
      <c r="Y46" s="691"/>
      <c r="Z46" s="691"/>
      <c r="AA46" s="691"/>
      <c r="AB46" s="691"/>
      <c r="AC46" s="691"/>
      <c r="AD46" s="691"/>
      <c r="AE46" s="691"/>
      <c r="AF46" s="691"/>
      <c r="AG46" s="691"/>
    </row>
    <row r="47" spans="1:34">
      <c r="A47" s="100"/>
      <c r="B47" s="100"/>
      <c r="C47" s="100"/>
      <c r="D47" s="100"/>
      <c r="E47" s="100"/>
      <c r="F47" s="386"/>
      <c r="G47" s="386"/>
      <c r="H47" s="386"/>
      <c r="I47" s="386"/>
      <c r="J47" s="252"/>
      <c r="K47" s="713"/>
      <c r="L47" s="713"/>
      <c r="M47" s="252"/>
      <c r="N47" s="252"/>
      <c r="O47" s="252"/>
      <c r="P47" s="252"/>
      <c r="Q47" s="614"/>
      <c r="R47" s="614"/>
      <c r="S47" s="691"/>
      <c r="T47" s="691"/>
      <c r="U47" s="691"/>
      <c r="V47" s="691"/>
      <c r="W47" s="691"/>
      <c r="X47" s="691"/>
      <c r="Y47" s="691"/>
      <c r="Z47" s="691"/>
      <c r="AA47" s="691"/>
      <c r="AB47" s="691"/>
      <c r="AC47" s="691"/>
      <c r="AD47" s="691"/>
      <c r="AE47" s="691"/>
      <c r="AF47" s="691"/>
      <c r="AG47" s="691"/>
    </row>
    <row r="48" spans="1:34">
      <c r="A48" s="100"/>
      <c r="B48" s="100"/>
      <c r="C48" s="100"/>
      <c r="D48" s="100"/>
      <c r="E48" s="100"/>
      <c r="F48" s="386"/>
      <c r="G48" s="386"/>
      <c r="H48" s="386"/>
      <c r="I48" s="386"/>
      <c r="J48" s="252"/>
      <c r="K48" s="713"/>
      <c r="L48" s="713"/>
      <c r="M48" s="252"/>
      <c r="N48" s="252"/>
      <c r="O48" s="252"/>
      <c r="P48" s="252"/>
      <c r="Q48" s="614"/>
      <c r="R48" s="614"/>
      <c r="S48" s="691"/>
      <c r="T48" s="691"/>
      <c r="U48" s="691"/>
      <c r="V48" s="691"/>
      <c r="W48" s="691"/>
      <c r="X48" s="691"/>
      <c r="Y48" s="691"/>
      <c r="Z48" s="691"/>
      <c r="AA48" s="691"/>
      <c r="AB48" s="691"/>
      <c r="AC48" s="691"/>
      <c r="AD48" s="691"/>
      <c r="AE48" s="691"/>
      <c r="AF48" s="691"/>
      <c r="AG48" s="691"/>
    </row>
    <row r="49" spans="1:34">
      <c r="A49" s="100"/>
      <c r="B49" s="100"/>
      <c r="C49" s="100"/>
      <c r="D49" s="100"/>
      <c r="E49" s="100"/>
      <c r="F49" s="386"/>
      <c r="G49" s="386"/>
      <c r="H49" s="386"/>
      <c r="I49" s="386"/>
      <c r="J49" s="252"/>
      <c r="K49" s="713"/>
      <c r="L49" s="713"/>
      <c r="M49" s="252"/>
      <c r="N49" s="252"/>
      <c r="O49" s="252"/>
      <c r="P49" s="252"/>
      <c r="Q49" s="614"/>
      <c r="R49" s="614"/>
      <c r="S49" s="691"/>
      <c r="T49" s="691"/>
      <c r="U49" s="691"/>
      <c r="V49" s="691"/>
      <c r="W49" s="691"/>
      <c r="X49" s="691"/>
      <c r="Y49" s="691"/>
      <c r="Z49" s="691"/>
      <c r="AA49" s="691"/>
      <c r="AB49" s="691"/>
      <c r="AC49" s="691"/>
      <c r="AD49" s="691"/>
      <c r="AE49" s="691"/>
      <c r="AF49" s="691"/>
      <c r="AG49" s="691"/>
    </row>
    <row r="50" spans="1:34">
      <c r="A50" s="100"/>
      <c r="B50" s="100"/>
      <c r="C50" s="100"/>
      <c r="D50" s="100"/>
      <c r="E50" s="100"/>
      <c r="F50" s="386"/>
      <c r="G50" s="386"/>
      <c r="H50" s="386"/>
      <c r="I50" s="386"/>
      <c r="J50" s="252"/>
      <c r="K50" s="713"/>
      <c r="L50" s="713"/>
      <c r="M50" s="252"/>
      <c r="N50" s="252"/>
      <c r="O50" s="252"/>
      <c r="P50" s="252"/>
      <c r="Q50" s="614"/>
      <c r="R50" s="614"/>
      <c r="S50" s="691"/>
      <c r="T50" s="691"/>
      <c r="U50" s="691"/>
      <c r="V50" s="691"/>
      <c r="W50" s="691"/>
      <c r="X50" s="691"/>
      <c r="Y50" s="691"/>
      <c r="Z50" s="691"/>
      <c r="AA50" s="691"/>
      <c r="AB50" s="691"/>
      <c r="AC50" s="691"/>
      <c r="AD50" s="691"/>
      <c r="AE50" s="691"/>
      <c r="AF50" s="691"/>
      <c r="AG50" s="691"/>
    </row>
    <row r="51" spans="1:34">
      <c r="A51" s="100"/>
      <c r="B51" s="100"/>
      <c r="C51" s="100"/>
      <c r="D51" s="100"/>
      <c r="E51" s="100"/>
      <c r="F51" s="386"/>
      <c r="G51" s="386"/>
      <c r="H51" s="386"/>
      <c r="I51" s="386"/>
      <c r="J51" s="252"/>
      <c r="K51" s="713"/>
      <c r="L51" s="713"/>
      <c r="M51" s="252"/>
      <c r="N51" s="252"/>
      <c r="O51" s="252"/>
      <c r="P51" s="252"/>
      <c r="Q51" s="614"/>
      <c r="R51" s="614"/>
      <c r="S51" s="691"/>
      <c r="T51" s="691"/>
      <c r="U51" s="691"/>
      <c r="V51" s="691"/>
      <c r="W51" s="691"/>
      <c r="X51" s="691"/>
      <c r="Y51" s="691"/>
      <c r="Z51" s="691"/>
      <c r="AA51" s="691"/>
      <c r="AB51" s="691"/>
      <c r="AC51" s="691"/>
      <c r="AD51" s="691"/>
      <c r="AE51" s="691"/>
      <c r="AF51" s="691"/>
      <c r="AG51" s="691"/>
    </row>
    <row r="52" spans="1:34">
      <c r="A52" s="100"/>
      <c r="B52" s="100"/>
      <c r="C52" s="100"/>
      <c r="D52" s="100"/>
      <c r="E52" s="100"/>
      <c r="F52" s="386"/>
      <c r="G52" s="386"/>
      <c r="H52" s="386"/>
      <c r="I52" s="386"/>
      <c r="J52" s="252"/>
      <c r="K52" s="713"/>
      <c r="L52" s="713"/>
      <c r="M52" s="252"/>
      <c r="N52" s="252"/>
      <c r="O52" s="252"/>
      <c r="P52" s="252"/>
      <c r="Q52" s="614"/>
      <c r="R52" s="614"/>
      <c r="S52" s="691"/>
      <c r="T52" s="691"/>
      <c r="U52" s="691"/>
      <c r="V52" s="691"/>
      <c r="W52" s="691"/>
      <c r="X52" s="691"/>
      <c r="Y52" s="691"/>
      <c r="Z52" s="691"/>
      <c r="AA52" s="691"/>
      <c r="AB52" s="691"/>
      <c r="AC52" s="691"/>
      <c r="AD52" s="691"/>
      <c r="AE52" s="691"/>
      <c r="AF52" s="691"/>
      <c r="AG52" s="691"/>
    </row>
    <row r="53" spans="1:34">
      <c r="A53" s="100"/>
      <c r="B53" s="100"/>
      <c r="C53" s="100"/>
      <c r="D53" s="100"/>
      <c r="E53" s="100"/>
      <c r="F53" s="386"/>
      <c r="G53" s="386"/>
      <c r="H53" s="386"/>
      <c r="I53" s="386"/>
      <c r="J53" s="252"/>
      <c r="K53" s="713"/>
      <c r="L53" s="713"/>
      <c r="M53" s="252"/>
      <c r="N53" s="252"/>
      <c r="O53" s="252"/>
      <c r="P53" s="252"/>
      <c r="Q53" s="614"/>
      <c r="R53" s="614"/>
      <c r="S53" s="691"/>
      <c r="T53" s="691"/>
      <c r="U53" s="691"/>
      <c r="V53" s="691"/>
      <c r="W53" s="691"/>
      <c r="X53" s="691"/>
      <c r="Y53" s="691"/>
      <c r="Z53" s="691"/>
      <c r="AA53" s="691"/>
      <c r="AB53" s="691"/>
      <c r="AC53" s="691"/>
      <c r="AD53" s="691"/>
      <c r="AE53" s="691"/>
      <c r="AF53" s="691"/>
      <c r="AG53" s="691"/>
    </row>
    <row r="54" spans="1:34">
      <c r="A54" s="679" t="s">
        <v>3</v>
      </c>
      <c r="B54" s="772">
        <f t="shared" ref="B54:J54" si="5">SUM(B27:B45)</f>
        <v>82</v>
      </c>
      <c r="C54" s="772">
        <f t="shared" si="5"/>
        <v>50</v>
      </c>
      <c r="D54" s="772">
        <f t="shared" si="5"/>
        <v>5</v>
      </c>
      <c r="E54" s="772">
        <f t="shared" si="5"/>
        <v>23</v>
      </c>
      <c r="F54" s="772">
        <f t="shared" si="5"/>
        <v>5</v>
      </c>
      <c r="G54" s="772">
        <f t="shared" si="5"/>
        <v>0</v>
      </c>
      <c r="H54" s="772">
        <f t="shared" si="5"/>
        <v>0</v>
      </c>
      <c r="I54" s="772">
        <f t="shared" si="5"/>
        <v>0</v>
      </c>
      <c r="J54" s="680">
        <f t="shared" si="5"/>
        <v>0</v>
      </c>
      <c r="K54" s="680">
        <f>SUM(K29:K30)</f>
        <v>0</v>
      </c>
      <c r="L54" s="680">
        <f>SUM(L29:L30)</f>
        <v>0</v>
      </c>
      <c r="M54" s="680">
        <f>SUM(M29:M30)</f>
        <v>0</v>
      </c>
      <c r="N54" s="680">
        <f>SUM(N29:N30)</f>
        <v>0</v>
      </c>
      <c r="O54" s="680">
        <f>SUM(O29:O30)</f>
        <v>0</v>
      </c>
      <c r="P54" s="773">
        <f t="shared" ref="P54:P120" si="6">SUM(J54:O54)</f>
        <v>0</v>
      </c>
      <c r="Q54" s="680">
        <f>138+24+17</f>
        <v>179</v>
      </c>
      <c r="R54" s="680">
        <f t="shared" ref="R54:AG54" si="7">SUM(R27:R45)</f>
        <v>0</v>
      </c>
      <c r="S54" s="680">
        <f>SUM(S27:S45)</f>
        <v>0</v>
      </c>
      <c r="T54" s="680">
        <f t="shared" si="7"/>
        <v>0</v>
      </c>
      <c r="U54" s="680">
        <f t="shared" si="7"/>
        <v>0</v>
      </c>
      <c r="V54" s="680">
        <f t="shared" si="7"/>
        <v>0</v>
      </c>
      <c r="W54" s="680">
        <f t="shared" si="7"/>
        <v>0</v>
      </c>
      <c r="X54" s="680">
        <f t="shared" si="7"/>
        <v>0</v>
      </c>
      <c r="Y54" s="680">
        <f t="shared" si="7"/>
        <v>0</v>
      </c>
      <c r="Z54" s="680">
        <f t="shared" si="7"/>
        <v>0</v>
      </c>
      <c r="AA54" s="680">
        <f t="shared" si="7"/>
        <v>0</v>
      </c>
      <c r="AB54" s="680">
        <f t="shared" si="7"/>
        <v>0</v>
      </c>
      <c r="AC54" s="680">
        <f t="shared" si="7"/>
        <v>0</v>
      </c>
      <c r="AD54" s="680">
        <f t="shared" si="7"/>
        <v>0</v>
      </c>
      <c r="AE54" s="680">
        <f t="shared" si="7"/>
        <v>0</v>
      </c>
      <c r="AF54" s="680">
        <f t="shared" si="7"/>
        <v>0</v>
      </c>
      <c r="AG54" s="680">
        <f t="shared" si="7"/>
        <v>0</v>
      </c>
    </row>
    <row r="55" spans="1:34">
      <c r="A55" s="774" t="s">
        <v>11</v>
      </c>
      <c r="B55" s="774"/>
      <c r="C55" s="774"/>
      <c r="D55" s="774"/>
      <c r="E55" s="774"/>
      <c r="F55" s="386"/>
      <c r="G55" s="386"/>
      <c r="H55" s="386"/>
      <c r="I55" s="386"/>
      <c r="J55" s="252"/>
      <c r="K55" s="252"/>
      <c r="L55" s="252"/>
      <c r="M55" s="252"/>
      <c r="N55" s="252"/>
      <c r="O55" s="252"/>
      <c r="P55" s="252">
        <f>SUM(J55:O55)</f>
        <v>0</v>
      </c>
      <c r="Q55" s="614"/>
      <c r="R55" s="614"/>
      <c r="S55" s="691"/>
      <c r="T55" s="691"/>
      <c r="U55" s="691"/>
      <c r="V55" s="691"/>
      <c r="W55" s="691"/>
      <c r="X55" s="691"/>
      <c r="Y55" s="691"/>
      <c r="Z55" s="691"/>
      <c r="AA55" s="691"/>
      <c r="AB55" s="691"/>
      <c r="AC55" s="691"/>
      <c r="AD55" s="691"/>
      <c r="AE55" s="691"/>
      <c r="AF55" s="691"/>
      <c r="AG55" s="691"/>
    </row>
    <row r="56" spans="1:34">
      <c r="A56" s="100" t="s">
        <v>90</v>
      </c>
      <c r="B56" s="100"/>
      <c r="C56" s="100"/>
      <c r="D56" s="100">
        <v>15</v>
      </c>
      <c r="E56" s="100">
        <v>15</v>
      </c>
      <c r="F56" s="386">
        <v>5</v>
      </c>
      <c r="G56" s="386"/>
      <c r="H56" s="386"/>
      <c r="I56" s="386"/>
      <c r="J56" s="252"/>
      <c r="K56" s="252"/>
      <c r="L56" s="252"/>
      <c r="M56" s="252"/>
      <c r="N56" s="713">
        <v>26</v>
      </c>
      <c r="O56" s="713"/>
      <c r="P56" s="252">
        <f>SUM(J56:O56)</f>
        <v>26</v>
      </c>
      <c r="Q56" s="614"/>
      <c r="R56" s="614">
        <f>B56</f>
        <v>0</v>
      </c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1"/>
      <c r="AG56" s="691"/>
    </row>
    <row r="57" spans="1:34" hidden="1">
      <c r="A57" s="100" t="s">
        <v>91</v>
      </c>
      <c r="B57" s="100"/>
      <c r="C57" s="100"/>
      <c r="D57" s="100"/>
      <c r="E57" s="100"/>
      <c r="F57" s="386"/>
      <c r="G57" s="386"/>
      <c r="H57" s="386"/>
      <c r="I57" s="386"/>
      <c r="J57" s="252">
        <f>SUM(C57:I57)</f>
        <v>0</v>
      </c>
      <c r="K57" s="252"/>
      <c r="L57" s="252"/>
      <c r="M57" s="252"/>
      <c r="N57" s="713">
        <v>12</v>
      </c>
      <c r="O57" s="252"/>
      <c r="P57" s="252">
        <f>SUM(J57:O57)</f>
        <v>12</v>
      </c>
      <c r="Q57" s="614"/>
      <c r="R57" s="614"/>
      <c r="S57" s="691"/>
      <c r="T57" s="691"/>
      <c r="U57" s="691"/>
      <c r="V57" s="691"/>
      <c r="W57" s="691"/>
      <c r="X57" s="691"/>
      <c r="Y57" s="691"/>
      <c r="Z57" s="691"/>
      <c r="AA57" s="691"/>
      <c r="AB57" s="691"/>
      <c r="AC57" s="691"/>
      <c r="AD57" s="691"/>
      <c r="AE57" s="691"/>
      <c r="AF57" s="691"/>
      <c r="AG57" s="691"/>
    </row>
    <row r="58" spans="1:34">
      <c r="A58" s="681" t="s">
        <v>396</v>
      </c>
      <c r="B58" s="100"/>
      <c r="C58" s="100"/>
      <c r="D58" s="100"/>
      <c r="E58" s="100"/>
      <c r="F58" s="386"/>
      <c r="G58" s="386"/>
      <c r="H58" s="386"/>
      <c r="I58" s="386"/>
      <c r="J58" s="252"/>
      <c r="K58" s="252"/>
      <c r="L58" s="252"/>
      <c r="M58" s="252"/>
      <c r="N58" s="713"/>
      <c r="O58" s="252"/>
      <c r="P58" s="252"/>
      <c r="Q58" s="614"/>
      <c r="R58" s="614"/>
      <c r="S58" s="691"/>
      <c r="T58" s="691"/>
      <c r="U58" s="691"/>
      <c r="V58" s="691"/>
      <c r="W58" s="691"/>
      <c r="X58" s="691"/>
      <c r="Y58" s="691"/>
      <c r="Z58" s="691"/>
      <c r="AA58" s="691"/>
      <c r="AB58" s="691"/>
      <c r="AC58" s="691"/>
      <c r="AD58" s="691"/>
      <c r="AE58" s="691"/>
      <c r="AF58" s="691"/>
      <c r="AG58" s="691"/>
    </row>
    <row r="59" spans="1:34">
      <c r="A59" s="100"/>
      <c r="B59" s="100"/>
      <c r="C59" s="100"/>
      <c r="D59" s="100"/>
      <c r="E59" s="100"/>
      <c r="F59" s="386"/>
      <c r="G59" s="386"/>
      <c r="H59" s="386"/>
      <c r="I59" s="386"/>
      <c r="J59" s="252"/>
      <c r="K59" s="252"/>
      <c r="L59" s="252"/>
      <c r="M59" s="252"/>
      <c r="N59" s="713"/>
      <c r="O59" s="252"/>
      <c r="P59" s="252"/>
      <c r="Q59" s="614"/>
      <c r="R59" s="614"/>
      <c r="S59" s="691"/>
      <c r="T59" s="691"/>
      <c r="U59" s="691"/>
      <c r="V59" s="691"/>
      <c r="W59" s="691"/>
      <c r="X59" s="691"/>
      <c r="Y59" s="691"/>
      <c r="Z59" s="691"/>
      <c r="AA59" s="691"/>
      <c r="AB59" s="691"/>
      <c r="AC59" s="691"/>
      <c r="AD59" s="691"/>
      <c r="AE59" s="691"/>
      <c r="AF59" s="691"/>
      <c r="AG59" s="691"/>
    </row>
    <row r="60" spans="1:34">
      <c r="A60" s="100"/>
      <c r="B60" s="100"/>
      <c r="C60" s="100"/>
      <c r="D60" s="100"/>
      <c r="E60" s="100"/>
      <c r="F60" s="386"/>
      <c r="G60" s="386"/>
      <c r="H60" s="386"/>
      <c r="I60" s="386"/>
      <c r="J60" s="252"/>
      <c r="K60" s="252"/>
      <c r="L60" s="252"/>
      <c r="M60" s="252"/>
      <c r="N60" s="713"/>
      <c r="O60" s="252"/>
      <c r="P60" s="252"/>
      <c r="Q60" s="614"/>
      <c r="R60" s="614"/>
      <c r="S60" s="691"/>
      <c r="T60" s="691"/>
      <c r="U60" s="691"/>
      <c r="V60" s="691"/>
      <c r="W60" s="691"/>
      <c r="X60" s="691"/>
      <c r="Y60" s="691"/>
      <c r="Z60" s="691"/>
      <c r="AA60" s="691"/>
      <c r="AB60" s="691"/>
      <c r="AC60" s="691"/>
      <c r="AD60" s="691"/>
      <c r="AE60" s="691"/>
      <c r="AF60" s="691"/>
      <c r="AG60" s="691"/>
    </row>
    <row r="61" spans="1:34">
      <c r="A61" s="100"/>
      <c r="B61" s="100"/>
      <c r="C61" s="100"/>
      <c r="D61" s="100"/>
      <c r="E61" s="100"/>
      <c r="F61" s="386"/>
      <c r="G61" s="386"/>
      <c r="H61" s="386"/>
      <c r="I61" s="386"/>
      <c r="J61" s="252"/>
      <c r="K61" s="252"/>
      <c r="L61" s="252"/>
      <c r="M61" s="252"/>
      <c r="N61" s="713"/>
      <c r="O61" s="252"/>
      <c r="P61" s="252"/>
      <c r="Q61" s="614"/>
      <c r="R61" s="614"/>
      <c r="S61" s="691"/>
      <c r="T61" s="691"/>
      <c r="U61" s="691"/>
      <c r="V61" s="691"/>
      <c r="W61" s="691"/>
      <c r="X61" s="691"/>
      <c r="Y61" s="691"/>
      <c r="Z61" s="691"/>
      <c r="AA61" s="691"/>
      <c r="AB61" s="691"/>
      <c r="AC61" s="691"/>
      <c r="AD61" s="691"/>
      <c r="AE61" s="691"/>
      <c r="AF61" s="691"/>
      <c r="AG61" s="691"/>
    </row>
    <row r="62" spans="1:34">
      <c r="A62" s="401"/>
      <c r="B62" s="401"/>
      <c r="C62" s="401"/>
      <c r="D62" s="401"/>
      <c r="E62" s="401"/>
      <c r="F62" s="676"/>
      <c r="G62" s="676"/>
      <c r="H62" s="676"/>
      <c r="I62" s="676"/>
      <c r="J62" s="668"/>
      <c r="K62" s="668"/>
      <c r="L62" s="668"/>
      <c r="M62" s="668"/>
      <c r="N62" s="768"/>
      <c r="O62" s="668"/>
      <c r="P62" s="668"/>
      <c r="Q62" s="737"/>
      <c r="R62" s="737"/>
      <c r="S62" s="754"/>
      <c r="T62" s="754"/>
      <c r="U62" s="754"/>
      <c r="V62" s="754"/>
      <c r="W62" s="754"/>
      <c r="X62" s="754"/>
      <c r="Y62" s="754"/>
      <c r="Z62" s="754"/>
      <c r="AA62" s="754"/>
      <c r="AB62" s="754"/>
      <c r="AC62" s="754"/>
      <c r="AD62" s="754"/>
      <c r="AE62" s="754"/>
      <c r="AF62" s="754"/>
      <c r="AG62" s="754"/>
    </row>
    <row r="63" spans="1:34">
      <c r="A63" s="95" t="s">
        <v>3</v>
      </c>
      <c r="B63" s="392">
        <f t="shared" ref="B63:O63" si="8">SUM(B56:B57)</f>
        <v>0</v>
      </c>
      <c r="C63" s="392">
        <f t="shared" si="8"/>
        <v>0</v>
      </c>
      <c r="D63" s="392">
        <f t="shared" si="8"/>
        <v>15</v>
      </c>
      <c r="E63" s="392">
        <f t="shared" si="8"/>
        <v>15</v>
      </c>
      <c r="F63" s="392">
        <f t="shared" si="8"/>
        <v>5</v>
      </c>
      <c r="G63" s="392">
        <f t="shared" si="8"/>
        <v>0</v>
      </c>
      <c r="H63" s="392">
        <f t="shared" si="8"/>
        <v>0</v>
      </c>
      <c r="I63" s="392">
        <f t="shared" si="8"/>
        <v>0</v>
      </c>
      <c r="J63" s="106">
        <f t="shared" si="8"/>
        <v>0</v>
      </c>
      <c r="K63" s="106">
        <f t="shared" si="8"/>
        <v>0</v>
      </c>
      <c r="L63" s="106">
        <f t="shared" si="8"/>
        <v>0</v>
      </c>
      <c r="M63" s="106">
        <f t="shared" si="8"/>
        <v>0</v>
      </c>
      <c r="N63" s="106">
        <f t="shared" si="8"/>
        <v>38</v>
      </c>
      <c r="O63" s="106">
        <f t="shared" si="8"/>
        <v>0</v>
      </c>
      <c r="P63" s="715">
        <f>SUM(J63:O63)</f>
        <v>38</v>
      </c>
      <c r="Q63" s="491"/>
      <c r="R63" s="106">
        <f t="shared" ref="R63:AG63" si="9">SUM(R56:R57)</f>
        <v>0</v>
      </c>
      <c r="S63" s="106">
        <f t="shared" si="9"/>
        <v>0</v>
      </c>
      <c r="T63" s="106">
        <f t="shared" si="9"/>
        <v>0</v>
      </c>
      <c r="U63" s="106">
        <f t="shared" si="9"/>
        <v>0</v>
      </c>
      <c r="V63" s="106">
        <f t="shared" si="9"/>
        <v>0</v>
      </c>
      <c r="W63" s="106">
        <f t="shared" si="9"/>
        <v>0</v>
      </c>
      <c r="X63" s="106">
        <f t="shared" si="9"/>
        <v>0</v>
      </c>
      <c r="Y63" s="106">
        <f t="shared" si="9"/>
        <v>0</v>
      </c>
      <c r="Z63" s="106">
        <f t="shared" si="9"/>
        <v>0</v>
      </c>
      <c r="AA63" s="106">
        <f t="shared" si="9"/>
        <v>0</v>
      </c>
      <c r="AB63" s="106">
        <f t="shared" si="9"/>
        <v>0</v>
      </c>
      <c r="AC63" s="106">
        <f t="shared" si="9"/>
        <v>0</v>
      </c>
      <c r="AD63" s="106">
        <f t="shared" si="9"/>
        <v>0</v>
      </c>
      <c r="AE63" s="106">
        <f t="shared" si="9"/>
        <v>0</v>
      </c>
      <c r="AF63" s="106">
        <f t="shared" si="9"/>
        <v>0</v>
      </c>
      <c r="AG63" s="106">
        <f t="shared" si="9"/>
        <v>0</v>
      </c>
    </row>
    <row r="64" spans="1:34">
      <c r="A64" s="101" t="s">
        <v>16</v>
      </c>
      <c r="B64" s="101"/>
      <c r="C64" s="101"/>
      <c r="D64" s="101"/>
      <c r="E64" s="101"/>
      <c r="F64" s="118"/>
      <c r="G64" s="118"/>
      <c r="H64" s="118"/>
      <c r="I64" s="118"/>
      <c r="J64" s="174"/>
      <c r="K64" s="174"/>
      <c r="L64" s="174"/>
      <c r="M64" s="174"/>
      <c r="N64" s="174"/>
      <c r="O64" s="174"/>
      <c r="P64" s="174">
        <f t="shared" si="6"/>
        <v>0</v>
      </c>
      <c r="Q64" s="491"/>
      <c r="R64" s="491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461" t="s">
        <v>364</v>
      </c>
    </row>
    <row r="65" spans="1:34">
      <c r="A65" s="398" t="s">
        <v>17</v>
      </c>
      <c r="B65" s="398"/>
      <c r="C65" s="398"/>
      <c r="D65" s="398"/>
      <c r="E65" s="398"/>
      <c r="F65" s="383">
        <v>2</v>
      </c>
      <c r="G65" s="383"/>
      <c r="H65" s="383"/>
      <c r="I65" s="383"/>
      <c r="J65" s="662"/>
      <c r="K65" s="662"/>
      <c r="L65" s="662"/>
      <c r="M65" s="662"/>
      <c r="N65" s="734"/>
      <c r="O65" s="734"/>
      <c r="P65" s="662"/>
      <c r="Q65" s="701"/>
      <c r="R65" s="701"/>
      <c r="S65" s="735"/>
      <c r="T65" s="735"/>
      <c r="U65" s="735"/>
      <c r="V65" s="735"/>
      <c r="W65" s="735"/>
      <c r="X65" s="735"/>
      <c r="Y65" s="735"/>
      <c r="Z65" s="735"/>
      <c r="AA65" s="735"/>
      <c r="AB65" s="735"/>
      <c r="AC65" s="735"/>
      <c r="AD65" s="735"/>
      <c r="AE65" s="735"/>
      <c r="AF65" s="735"/>
      <c r="AG65" s="735"/>
    </row>
    <row r="66" spans="1:34">
      <c r="A66" s="100" t="s">
        <v>367</v>
      </c>
      <c r="B66" s="100"/>
      <c r="C66" s="100"/>
      <c r="D66" s="100"/>
      <c r="E66" s="100"/>
      <c r="F66" s="386"/>
      <c r="G66" s="386"/>
      <c r="H66" s="386"/>
      <c r="I66" s="386"/>
      <c r="J66" s="252"/>
      <c r="K66" s="252"/>
      <c r="L66" s="252"/>
      <c r="M66" s="252"/>
      <c r="N66" s="713"/>
      <c r="O66" s="713"/>
      <c r="P66" s="252"/>
      <c r="Q66" s="614"/>
      <c r="R66" s="614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</row>
    <row r="67" spans="1:34">
      <c r="A67" s="100" t="s">
        <v>368</v>
      </c>
      <c r="B67" s="100"/>
      <c r="C67" s="100"/>
      <c r="D67" s="100"/>
      <c r="E67" s="100"/>
      <c r="F67" s="386"/>
      <c r="G67" s="386"/>
      <c r="H67" s="386"/>
      <c r="I67" s="386"/>
      <c r="J67" s="252"/>
      <c r="K67" s="252"/>
      <c r="L67" s="252"/>
      <c r="M67" s="252"/>
      <c r="N67" s="713"/>
      <c r="O67" s="713"/>
      <c r="P67" s="252"/>
      <c r="Q67" s="614"/>
      <c r="R67" s="614"/>
      <c r="S67" s="691"/>
      <c r="T67" s="691"/>
      <c r="U67" s="691"/>
      <c r="V67" s="691"/>
      <c r="W67" s="691"/>
      <c r="X67" s="691"/>
      <c r="Y67" s="691"/>
      <c r="Z67" s="691"/>
      <c r="AA67" s="691"/>
      <c r="AB67" s="691"/>
      <c r="AC67" s="691"/>
      <c r="AD67" s="691"/>
      <c r="AE67" s="691"/>
      <c r="AF67" s="691"/>
      <c r="AG67" s="691"/>
    </row>
    <row r="68" spans="1:34">
      <c r="A68" s="681" t="s">
        <v>396</v>
      </c>
      <c r="B68" s="100"/>
      <c r="C68" s="100"/>
      <c r="D68" s="100"/>
      <c r="E68" s="100"/>
      <c r="F68" s="386"/>
      <c r="G68" s="386"/>
      <c r="H68" s="386"/>
      <c r="I68" s="386"/>
      <c r="J68" s="252"/>
      <c r="K68" s="252"/>
      <c r="L68" s="252"/>
      <c r="M68" s="252"/>
      <c r="N68" s="713"/>
      <c r="O68" s="713"/>
      <c r="P68" s="252"/>
      <c r="Q68" s="614"/>
      <c r="R68" s="614"/>
      <c r="S68" s="691"/>
      <c r="T68" s="691"/>
      <c r="U68" s="691"/>
      <c r="V68" s="691"/>
      <c r="W68" s="691"/>
      <c r="X68" s="691"/>
      <c r="Y68" s="691"/>
      <c r="Z68" s="691"/>
      <c r="AA68" s="691"/>
      <c r="AB68" s="691"/>
      <c r="AC68" s="691"/>
      <c r="AD68" s="691"/>
      <c r="AE68" s="691"/>
      <c r="AF68" s="691"/>
      <c r="AG68" s="691"/>
    </row>
    <row r="69" spans="1:34">
      <c r="A69" s="100"/>
      <c r="B69" s="100"/>
      <c r="C69" s="100"/>
      <c r="D69" s="100"/>
      <c r="E69" s="100"/>
      <c r="F69" s="386"/>
      <c r="G69" s="386"/>
      <c r="H69" s="386"/>
      <c r="I69" s="386"/>
      <c r="J69" s="252"/>
      <c r="K69" s="252"/>
      <c r="L69" s="252"/>
      <c r="M69" s="252"/>
      <c r="N69" s="713"/>
      <c r="O69" s="713"/>
      <c r="P69" s="252"/>
      <c r="Q69" s="614"/>
      <c r="R69" s="614"/>
      <c r="S69" s="691"/>
      <c r="T69" s="691"/>
      <c r="U69" s="691"/>
      <c r="V69" s="691"/>
      <c r="W69" s="691"/>
      <c r="X69" s="691"/>
      <c r="Y69" s="691"/>
      <c r="Z69" s="691"/>
      <c r="AA69" s="691"/>
      <c r="AB69" s="691"/>
      <c r="AC69" s="691"/>
      <c r="AD69" s="691"/>
      <c r="AE69" s="691"/>
      <c r="AF69" s="691"/>
      <c r="AG69" s="691"/>
    </row>
    <row r="70" spans="1:34">
      <c r="A70" s="100"/>
      <c r="B70" s="100"/>
      <c r="C70" s="100"/>
      <c r="D70" s="100"/>
      <c r="E70" s="100"/>
      <c r="F70" s="386"/>
      <c r="G70" s="386"/>
      <c r="H70" s="386"/>
      <c r="I70" s="386"/>
      <c r="J70" s="252"/>
      <c r="K70" s="252"/>
      <c r="L70" s="252"/>
      <c r="M70" s="252"/>
      <c r="N70" s="713"/>
      <c r="O70" s="713"/>
      <c r="P70" s="252"/>
      <c r="Q70" s="614"/>
      <c r="R70" s="614"/>
      <c r="S70" s="691"/>
      <c r="T70" s="691"/>
      <c r="U70" s="691"/>
      <c r="V70" s="691"/>
      <c r="W70" s="691"/>
      <c r="X70" s="691"/>
      <c r="Y70" s="691"/>
      <c r="Z70" s="691"/>
      <c r="AA70" s="691"/>
      <c r="AB70" s="691"/>
      <c r="AC70" s="691"/>
      <c r="AD70" s="691"/>
      <c r="AE70" s="691"/>
      <c r="AF70" s="691"/>
      <c r="AG70" s="691"/>
    </row>
    <row r="71" spans="1:34">
      <c r="A71" s="100"/>
      <c r="B71" s="100"/>
      <c r="C71" s="100"/>
      <c r="D71" s="100"/>
      <c r="E71" s="100"/>
      <c r="F71" s="386"/>
      <c r="G71" s="386"/>
      <c r="H71" s="386"/>
      <c r="I71" s="386"/>
      <c r="J71" s="252"/>
      <c r="K71" s="252"/>
      <c r="L71" s="252"/>
      <c r="M71" s="252"/>
      <c r="N71" s="713"/>
      <c r="O71" s="713"/>
      <c r="P71" s="252"/>
      <c r="Q71" s="614"/>
      <c r="R71" s="614"/>
      <c r="S71" s="691"/>
      <c r="T71" s="691"/>
      <c r="U71" s="691"/>
      <c r="V71" s="691"/>
      <c r="W71" s="691"/>
      <c r="X71" s="691"/>
      <c r="Y71" s="691"/>
      <c r="Z71" s="691"/>
      <c r="AA71" s="691"/>
      <c r="AB71" s="691"/>
      <c r="AC71" s="691"/>
      <c r="AD71" s="691"/>
      <c r="AE71" s="691"/>
      <c r="AF71" s="691"/>
      <c r="AG71" s="691"/>
    </row>
    <row r="72" spans="1:34">
      <c r="A72" s="100"/>
      <c r="B72" s="100"/>
      <c r="C72" s="100"/>
      <c r="D72" s="100"/>
      <c r="E72" s="100"/>
      <c r="F72" s="386"/>
      <c r="G72" s="386"/>
      <c r="H72" s="386"/>
      <c r="I72" s="386"/>
      <c r="J72" s="252"/>
      <c r="K72" s="252"/>
      <c r="L72" s="252"/>
      <c r="M72" s="252"/>
      <c r="N72" s="713"/>
      <c r="O72" s="713"/>
      <c r="P72" s="252"/>
      <c r="Q72" s="614"/>
      <c r="R72" s="614"/>
      <c r="S72" s="691"/>
      <c r="T72" s="691"/>
      <c r="U72" s="691"/>
      <c r="V72" s="691"/>
      <c r="W72" s="691"/>
      <c r="X72" s="691"/>
      <c r="Y72" s="691"/>
      <c r="Z72" s="691"/>
      <c r="AA72" s="691"/>
      <c r="AB72" s="691"/>
      <c r="AC72" s="691"/>
      <c r="AD72" s="691"/>
      <c r="AE72" s="691"/>
      <c r="AF72" s="691"/>
      <c r="AG72" s="691"/>
    </row>
    <row r="73" spans="1:34">
      <c r="A73" s="100"/>
      <c r="B73" s="100"/>
      <c r="C73" s="100"/>
      <c r="D73" s="100"/>
      <c r="E73" s="100"/>
      <c r="F73" s="386"/>
      <c r="G73" s="386"/>
      <c r="H73" s="386"/>
      <c r="I73" s="386"/>
      <c r="J73" s="252"/>
      <c r="K73" s="252"/>
      <c r="L73" s="252"/>
      <c r="M73" s="252"/>
      <c r="N73" s="713"/>
      <c r="O73" s="713"/>
      <c r="P73" s="252"/>
      <c r="Q73" s="614"/>
      <c r="R73" s="614"/>
      <c r="S73" s="691"/>
      <c r="T73" s="691"/>
      <c r="U73" s="691"/>
      <c r="V73" s="691"/>
      <c r="W73" s="691"/>
      <c r="X73" s="691"/>
      <c r="Y73" s="691"/>
      <c r="Z73" s="691"/>
      <c r="AA73" s="691"/>
      <c r="AB73" s="691"/>
      <c r="AC73" s="691"/>
      <c r="AD73" s="691"/>
      <c r="AE73" s="691"/>
      <c r="AF73" s="691"/>
      <c r="AG73" s="691"/>
    </row>
    <row r="74" spans="1:34">
      <c r="A74" s="401"/>
      <c r="B74" s="401"/>
      <c r="C74" s="401"/>
      <c r="D74" s="401"/>
      <c r="E74" s="401"/>
      <c r="F74" s="676"/>
      <c r="G74" s="676"/>
      <c r="H74" s="676"/>
      <c r="I74" s="676"/>
      <c r="J74" s="668"/>
      <c r="K74" s="668"/>
      <c r="L74" s="668"/>
      <c r="M74" s="668"/>
      <c r="N74" s="768"/>
      <c r="O74" s="668"/>
      <c r="P74" s="668"/>
      <c r="Q74" s="737"/>
      <c r="R74" s="737"/>
      <c r="S74" s="754"/>
      <c r="T74" s="754"/>
      <c r="U74" s="754"/>
      <c r="V74" s="754"/>
      <c r="W74" s="754"/>
      <c r="X74" s="754"/>
      <c r="Y74" s="754"/>
      <c r="Z74" s="754"/>
      <c r="AA74" s="754"/>
      <c r="AB74" s="754"/>
      <c r="AC74" s="754"/>
      <c r="AD74" s="754"/>
      <c r="AE74" s="754"/>
      <c r="AF74" s="754"/>
      <c r="AG74" s="754"/>
    </row>
    <row r="75" spans="1:34">
      <c r="A75" s="95" t="s">
        <v>3</v>
      </c>
      <c r="B75" s="392">
        <f t="shared" ref="B75:O75" si="10">SUM(B65:B74)</f>
        <v>0</v>
      </c>
      <c r="C75" s="392">
        <f t="shared" si="10"/>
        <v>0</v>
      </c>
      <c r="D75" s="392">
        <f t="shared" si="10"/>
        <v>0</v>
      </c>
      <c r="E75" s="392">
        <f t="shared" si="10"/>
        <v>0</v>
      </c>
      <c r="F75" s="392">
        <f t="shared" si="10"/>
        <v>2</v>
      </c>
      <c r="G75" s="392">
        <f t="shared" si="10"/>
        <v>0</v>
      </c>
      <c r="H75" s="392">
        <f t="shared" si="10"/>
        <v>0</v>
      </c>
      <c r="I75" s="392">
        <f t="shared" si="10"/>
        <v>0</v>
      </c>
      <c r="J75" s="106">
        <f>SUM(J65:J74)</f>
        <v>0</v>
      </c>
      <c r="K75" s="106">
        <f t="shared" si="10"/>
        <v>0</v>
      </c>
      <c r="L75" s="106">
        <f t="shared" si="10"/>
        <v>0</v>
      </c>
      <c r="M75" s="106">
        <f t="shared" si="10"/>
        <v>0</v>
      </c>
      <c r="N75" s="106">
        <f t="shared" si="10"/>
        <v>0</v>
      </c>
      <c r="O75" s="106">
        <f t="shared" si="10"/>
        <v>0</v>
      </c>
      <c r="P75" s="715">
        <f t="shared" si="6"/>
        <v>0</v>
      </c>
      <c r="Q75" s="491"/>
      <c r="R75" s="106">
        <f>SUM(R65:R74)</f>
        <v>0</v>
      </c>
      <c r="S75" s="106">
        <f t="shared" ref="S75:AG75" si="11">SUM(S65:S74)</f>
        <v>0</v>
      </c>
      <c r="T75" s="106">
        <f t="shared" si="11"/>
        <v>0</v>
      </c>
      <c r="U75" s="106">
        <f t="shared" si="11"/>
        <v>0</v>
      </c>
      <c r="V75" s="106">
        <f t="shared" si="11"/>
        <v>0</v>
      </c>
      <c r="W75" s="106">
        <f t="shared" si="11"/>
        <v>0</v>
      </c>
      <c r="X75" s="106">
        <f t="shared" si="11"/>
        <v>0</v>
      </c>
      <c r="Y75" s="106">
        <f t="shared" si="11"/>
        <v>0</v>
      </c>
      <c r="Z75" s="106">
        <f t="shared" si="11"/>
        <v>0</v>
      </c>
      <c r="AA75" s="106">
        <f t="shared" si="11"/>
        <v>0</v>
      </c>
      <c r="AB75" s="106">
        <f t="shared" si="11"/>
        <v>0</v>
      </c>
      <c r="AC75" s="106">
        <f t="shared" si="11"/>
        <v>0</v>
      </c>
      <c r="AD75" s="106">
        <f t="shared" si="11"/>
        <v>0</v>
      </c>
      <c r="AE75" s="106">
        <f t="shared" si="11"/>
        <v>0</v>
      </c>
      <c r="AF75" s="106">
        <f t="shared" si="11"/>
        <v>0</v>
      </c>
      <c r="AG75" s="106">
        <f t="shared" si="11"/>
        <v>0</v>
      </c>
    </row>
    <row r="76" spans="1:34">
      <c r="A76" s="101" t="s">
        <v>19</v>
      </c>
      <c r="B76" s="101"/>
      <c r="C76" s="101"/>
      <c r="D76" s="101"/>
      <c r="E76" s="101"/>
      <c r="F76" s="118"/>
      <c r="G76" s="118"/>
      <c r="H76" s="118"/>
      <c r="I76" s="118"/>
      <c r="J76" s="174"/>
      <c r="K76" s="174"/>
      <c r="L76" s="174"/>
      <c r="M76" s="174"/>
      <c r="N76" s="174"/>
      <c r="O76" s="174"/>
      <c r="P76" s="174">
        <f t="shared" si="6"/>
        <v>0</v>
      </c>
      <c r="Q76" s="491"/>
      <c r="R76" s="491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</row>
    <row r="77" spans="1:34" hidden="1">
      <c r="A77" s="259" t="s">
        <v>20</v>
      </c>
      <c r="B77" s="259"/>
      <c r="C77" s="259"/>
      <c r="D77" s="259"/>
      <c r="E77" s="259"/>
      <c r="F77" s="385"/>
      <c r="G77" s="385"/>
      <c r="H77" s="385"/>
      <c r="I77" s="385"/>
      <c r="J77" s="254"/>
      <c r="K77" s="254"/>
      <c r="L77" s="254"/>
      <c r="M77" s="254"/>
      <c r="N77" s="254"/>
      <c r="O77" s="254"/>
      <c r="P77" s="254">
        <f t="shared" si="6"/>
        <v>0</v>
      </c>
      <c r="S77" s="484"/>
      <c r="T77" s="484"/>
      <c r="U77" s="484"/>
      <c r="V77" s="484"/>
      <c r="W77" s="484"/>
      <c r="X77" s="484"/>
      <c r="Y77" s="484"/>
      <c r="Z77" s="484"/>
      <c r="AA77" s="484"/>
      <c r="AB77" s="484"/>
      <c r="AC77" s="484"/>
      <c r="AD77" s="484"/>
      <c r="AE77" s="484"/>
      <c r="AF77" s="484"/>
      <c r="AG77" s="484"/>
    </row>
    <row r="78" spans="1:34">
      <c r="A78" s="398" t="s">
        <v>4</v>
      </c>
      <c r="B78" s="398">
        <v>31</v>
      </c>
      <c r="C78" s="398">
        <v>30</v>
      </c>
      <c r="D78" s="398">
        <v>26</v>
      </c>
      <c r="E78" s="398">
        <v>21</v>
      </c>
      <c r="F78" s="383">
        <f>19+7</f>
        <v>26</v>
      </c>
      <c r="G78" s="383"/>
      <c r="H78" s="383"/>
      <c r="I78" s="383"/>
      <c r="J78" s="662"/>
      <c r="K78" s="662"/>
      <c r="L78" s="734"/>
      <c r="M78" s="662"/>
      <c r="N78" s="662"/>
      <c r="O78" s="662"/>
      <c r="P78" s="662"/>
      <c r="Q78" s="701"/>
      <c r="R78" s="701"/>
      <c r="S78" s="735"/>
      <c r="T78" s="735"/>
      <c r="U78" s="735"/>
      <c r="V78" s="735"/>
      <c r="W78" s="735"/>
      <c r="X78" s="735"/>
      <c r="Y78" s="735"/>
      <c r="Z78" s="735"/>
      <c r="AA78" s="735"/>
      <c r="AB78" s="735"/>
      <c r="AC78" s="735"/>
      <c r="AD78" s="735"/>
      <c r="AE78" s="735"/>
      <c r="AF78" s="735"/>
      <c r="AG78" s="735"/>
      <c r="AH78" s="461" t="s">
        <v>364</v>
      </c>
    </row>
    <row r="79" spans="1:34" hidden="1">
      <c r="A79" s="100" t="s">
        <v>21</v>
      </c>
      <c r="B79" s="100"/>
      <c r="C79" s="100"/>
      <c r="D79" s="100"/>
      <c r="E79" s="100"/>
      <c r="F79" s="386"/>
      <c r="G79" s="386"/>
      <c r="H79" s="386"/>
      <c r="I79" s="386"/>
      <c r="J79" s="252"/>
      <c r="K79" s="252"/>
      <c r="L79" s="252"/>
      <c r="M79" s="252"/>
      <c r="N79" s="252"/>
      <c r="O79" s="252"/>
      <c r="P79" s="252"/>
      <c r="Q79" s="614"/>
      <c r="R79" s="614"/>
      <c r="S79" s="691"/>
      <c r="T79" s="691"/>
      <c r="U79" s="691"/>
      <c r="V79" s="691"/>
      <c r="W79" s="691"/>
      <c r="X79" s="691"/>
      <c r="Y79" s="691"/>
      <c r="Z79" s="691"/>
      <c r="AA79" s="691"/>
      <c r="AB79" s="691"/>
      <c r="AC79" s="691"/>
      <c r="AD79" s="691"/>
      <c r="AE79" s="691"/>
      <c r="AF79" s="691"/>
      <c r="AG79" s="691"/>
    </row>
    <row r="80" spans="1:34">
      <c r="A80" s="100" t="s">
        <v>76</v>
      </c>
      <c r="B80" s="100">
        <v>18</v>
      </c>
      <c r="C80" s="100">
        <v>25</v>
      </c>
      <c r="D80" s="100">
        <v>23</v>
      </c>
      <c r="E80" s="100">
        <v>24</v>
      </c>
      <c r="F80" s="386">
        <v>1</v>
      </c>
      <c r="G80" s="386"/>
      <c r="H80" s="386"/>
      <c r="I80" s="386"/>
      <c r="J80" s="252"/>
      <c r="K80" s="252"/>
      <c r="L80" s="713"/>
      <c r="M80" s="252"/>
      <c r="N80" s="252"/>
      <c r="O80" s="252"/>
      <c r="P80" s="252"/>
      <c r="Q80" s="614"/>
      <c r="R80" s="614"/>
      <c r="S80" s="691"/>
      <c r="T80" s="691"/>
      <c r="U80" s="691"/>
      <c r="V80" s="691"/>
      <c r="W80" s="691"/>
      <c r="X80" s="691"/>
      <c r="Y80" s="691"/>
      <c r="Z80" s="691"/>
      <c r="AA80" s="691"/>
      <c r="AB80" s="691"/>
      <c r="AC80" s="691"/>
      <c r="AD80" s="691"/>
      <c r="AE80" s="691"/>
      <c r="AF80" s="691"/>
      <c r="AG80" s="691"/>
    </row>
    <row r="81" spans="1:34" hidden="1">
      <c r="A81" s="100" t="s">
        <v>24</v>
      </c>
      <c r="B81" s="100"/>
      <c r="C81" s="100"/>
      <c r="D81" s="100"/>
      <c r="E81" s="100"/>
      <c r="F81" s="386"/>
      <c r="G81" s="386"/>
      <c r="H81" s="386"/>
      <c r="I81" s="386"/>
      <c r="J81" s="252"/>
      <c r="K81" s="252"/>
      <c r="L81" s="713"/>
      <c r="M81" s="252"/>
      <c r="N81" s="252"/>
      <c r="O81" s="252"/>
      <c r="P81" s="252"/>
      <c r="Q81" s="614"/>
      <c r="R81" s="614"/>
      <c r="S81" s="691"/>
      <c r="T81" s="691"/>
      <c r="U81" s="691"/>
      <c r="V81" s="691"/>
      <c r="W81" s="691"/>
      <c r="X81" s="691"/>
      <c r="Y81" s="691"/>
      <c r="Z81" s="691"/>
      <c r="AA81" s="691"/>
      <c r="AB81" s="691"/>
      <c r="AC81" s="691"/>
      <c r="AD81" s="691"/>
      <c r="AE81" s="691"/>
      <c r="AF81" s="691"/>
      <c r="AG81" s="691"/>
    </row>
    <row r="82" spans="1:34">
      <c r="A82" s="100" t="s">
        <v>122</v>
      </c>
      <c r="B82" s="100">
        <v>15</v>
      </c>
      <c r="C82" s="100">
        <v>17</v>
      </c>
      <c r="D82" s="100">
        <v>14</v>
      </c>
      <c r="E82" s="100"/>
      <c r="F82" s="386">
        <v>7</v>
      </c>
      <c r="G82" s="386"/>
      <c r="H82" s="386"/>
      <c r="I82" s="386"/>
      <c r="J82" s="252"/>
      <c r="K82" s="713"/>
      <c r="L82" s="713"/>
      <c r="M82" s="252"/>
      <c r="N82" s="252"/>
      <c r="O82" s="252"/>
      <c r="P82" s="252"/>
      <c r="Q82" s="614"/>
      <c r="R82" s="614"/>
      <c r="S82" s="691"/>
      <c r="T82" s="691"/>
      <c r="U82" s="691"/>
      <c r="V82" s="691"/>
      <c r="W82" s="691"/>
      <c r="X82" s="691"/>
      <c r="Y82" s="691"/>
      <c r="Z82" s="691"/>
      <c r="AA82" s="691"/>
      <c r="AB82" s="691"/>
      <c r="AC82" s="691"/>
      <c r="AD82" s="691"/>
      <c r="AE82" s="691"/>
      <c r="AF82" s="691"/>
      <c r="AG82" s="691"/>
    </row>
    <row r="83" spans="1:34">
      <c r="A83" s="100" t="s">
        <v>168</v>
      </c>
      <c r="B83" s="100">
        <v>42</v>
      </c>
      <c r="C83" s="100"/>
      <c r="D83" s="100">
        <v>21</v>
      </c>
      <c r="E83" s="100">
        <v>20</v>
      </c>
      <c r="F83" s="386">
        <v>7</v>
      </c>
      <c r="G83" s="386"/>
      <c r="H83" s="386"/>
      <c r="I83" s="386"/>
      <c r="J83" s="252"/>
      <c r="K83" s="713"/>
      <c r="L83" s="713"/>
      <c r="M83" s="252"/>
      <c r="N83" s="252"/>
      <c r="O83" s="252"/>
      <c r="P83" s="252"/>
      <c r="Q83" s="614"/>
      <c r="R83" s="614"/>
      <c r="S83" s="691"/>
      <c r="T83" s="691"/>
      <c r="U83" s="691"/>
      <c r="V83" s="691"/>
      <c r="W83" s="691"/>
      <c r="X83" s="691"/>
      <c r="Y83" s="691"/>
      <c r="Z83" s="691"/>
      <c r="AA83" s="691"/>
      <c r="AB83" s="691"/>
      <c r="AC83" s="691"/>
      <c r="AD83" s="691"/>
      <c r="AE83" s="691"/>
      <c r="AF83" s="691"/>
      <c r="AG83" s="691"/>
    </row>
    <row r="84" spans="1:34" hidden="1">
      <c r="A84" s="100" t="s">
        <v>23</v>
      </c>
      <c r="B84" s="100"/>
      <c r="C84" s="100"/>
      <c r="D84" s="100"/>
      <c r="E84" s="100"/>
      <c r="F84" s="386"/>
      <c r="G84" s="386"/>
      <c r="H84" s="386"/>
      <c r="I84" s="386"/>
      <c r="J84" s="252"/>
      <c r="K84" s="252"/>
      <c r="L84" s="252"/>
      <c r="M84" s="252"/>
      <c r="N84" s="252"/>
      <c r="O84" s="252"/>
      <c r="P84" s="252"/>
      <c r="Q84" s="614"/>
      <c r="R84" s="614"/>
      <c r="S84" s="691"/>
      <c r="T84" s="691"/>
      <c r="U84" s="691"/>
      <c r="V84" s="691"/>
      <c r="W84" s="691"/>
      <c r="X84" s="691"/>
      <c r="Y84" s="691"/>
      <c r="Z84" s="691"/>
      <c r="AA84" s="691"/>
      <c r="AB84" s="691"/>
      <c r="AC84" s="691"/>
      <c r="AD84" s="691"/>
      <c r="AE84" s="691"/>
      <c r="AF84" s="691"/>
      <c r="AG84" s="691"/>
    </row>
    <row r="85" spans="1:34" hidden="1">
      <c r="A85" s="100" t="s">
        <v>24</v>
      </c>
      <c r="B85" s="100"/>
      <c r="C85" s="100"/>
      <c r="D85" s="100"/>
      <c r="E85" s="100"/>
      <c r="F85" s="386"/>
      <c r="G85" s="386"/>
      <c r="H85" s="386"/>
      <c r="I85" s="386"/>
      <c r="J85" s="252"/>
      <c r="K85" s="252"/>
      <c r="L85" s="252"/>
      <c r="M85" s="713"/>
      <c r="N85" s="252"/>
      <c r="O85" s="252"/>
      <c r="P85" s="252"/>
      <c r="Q85" s="614"/>
      <c r="R85" s="614"/>
      <c r="S85" s="691"/>
      <c r="T85" s="691"/>
      <c r="U85" s="691"/>
      <c r="V85" s="691"/>
      <c r="W85" s="691"/>
      <c r="X85" s="691"/>
      <c r="Y85" s="691"/>
      <c r="Z85" s="691"/>
      <c r="AA85" s="691"/>
      <c r="AB85" s="691"/>
      <c r="AC85" s="691"/>
      <c r="AD85" s="691"/>
      <c r="AE85" s="691"/>
      <c r="AF85" s="691"/>
      <c r="AG85" s="691"/>
    </row>
    <row r="86" spans="1:34" hidden="1">
      <c r="A86" s="100" t="s">
        <v>110</v>
      </c>
      <c r="B86" s="100"/>
      <c r="C86" s="100"/>
      <c r="D86" s="100"/>
      <c r="E86" s="100"/>
      <c r="F86" s="386"/>
      <c r="G86" s="386"/>
      <c r="H86" s="386"/>
      <c r="I86" s="386"/>
      <c r="J86" s="252"/>
      <c r="K86" s="718"/>
      <c r="L86" s="252"/>
      <c r="M86" s="252"/>
      <c r="N86" s="252"/>
      <c r="O86" s="252"/>
      <c r="P86" s="252"/>
      <c r="Q86" s="614"/>
      <c r="R86" s="614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</row>
    <row r="87" spans="1:34" hidden="1">
      <c r="A87" s="100" t="s">
        <v>144</v>
      </c>
      <c r="B87" s="100"/>
      <c r="C87" s="100"/>
      <c r="D87" s="100"/>
      <c r="E87" s="100"/>
      <c r="F87" s="386"/>
      <c r="G87" s="386"/>
      <c r="H87" s="386"/>
      <c r="I87" s="386"/>
      <c r="J87" s="252"/>
      <c r="K87" s="713"/>
      <c r="L87" s="713"/>
      <c r="M87" s="713"/>
      <c r="N87" s="713"/>
      <c r="O87" s="713"/>
      <c r="P87" s="252"/>
      <c r="Q87" s="614"/>
      <c r="R87" s="614"/>
      <c r="S87" s="691"/>
      <c r="T87" s="691"/>
      <c r="U87" s="691"/>
      <c r="V87" s="691"/>
      <c r="W87" s="691"/>
      <c r="X87" s="691"/>
      <c r="Y87" s="691"/>
      <c r="Z87" s="691"/>
      <c r="AA87" s="691"/>
      <c r="AB87" s="691"/>
      <c r="AC87" s="691"/>
      <c r="AD87" s="691"/>
      <c r="AE87" s="691"/>
      <c r="AF87" s="691"/>
      <c r="AG87" s="691"/>
    </row>
    <row r="88" spans="1:34">
      <c r="A88" s="100" t="s">
        <v>25</v>
      </c>
      <c r="B88" s="100"/>
      <c r="C88" s="100">
        <v>48</v>
      </c>
      <c r="D88" s="100">
        <v>41</v>
      </c>
      <c r="E88" s="100">
        <v>17</v>
      </c>
      <c r="F88" s="386">
        <v>16</v>
      </c>
      <c r="G88" s="386"/>
      <c r="H88" s="386"/>
      <c r="I88" s="386"/>
      <c r="J88" s="252"/>
      <c r="K88" s="713"/>
      <c r="L88" s="713"/>
      <c r="M88" s="713"/>
      <c r="N88" s="713"/>
      <c r="O88" s="713"/>
      <c r="P88" s="252"/>
      <c r="Q88" s="614"/>
      <c r="R88" s="614"/>
      <c r="S88" s="691"/>
      <c r="T88" s="739"/>
      <c r="U88" s="739"/>
      <c r="V88" s="739"/>
      <c r="W88" s="739"/>
      <c r="X88" s="691"/>
      <c r="Y88" s="739"/>
      <c r="Z88" s="739"/>
      <c r="AA88" s="739"/>
      <c r="AB88" s="739"/>
      <c r="AC88" s="691"/>
      <c r="AD88" s="739"/>
      <c r="AE88" s="739"/>
      <c r="AF88" s="739"/>
      <c r="AG88" s="739"/>
    </row>
    <row r="89" spans="1:34">
      <c r="A89" s="681" t="s">
        <v>396</v>
      </c>
      <c r="B89" s="100"/>
      <c r="C89" s="100"/>
      <c r="D89" s="100"/>
      <c r="E89" s="100"/>
      <c r="F89" s="386"/>
      <c r="G89" s="386"/>
      <c r="H89" s="386"/>
      <c r="I89" s="386"/>
      <c r="J89" s="252"/>
      <c r="K89" s="713"/>
      <c r="L89" s="713"/>
      <c r="M89" s="713"/>
      <c r="N89" s="713"/>
      <c r="O89" s="713"/>
      <c r="P89" s="252"/>
      <c r="Q89" s="614"/>
      <c r="R89" s="614"/>
      <c r="S89" s="691"/>
      <c r="T89" s="739"/>
      <c r="U89" s="739"/>
      <c r="V89" s="739"/>
      <c r="W89" s="739"/>
      <c r="X89" s="691"/>
      <c r="Y89" s="739"/>
      <c r="Z89" s="739"/>
      <c r="AA89" s="739"/>
      <c r="AB89" s="739"/>
      <c r="AC89" s="691"/>
      <c r="AD89" s="739"/>
      <c r="AE89" s="739"/>
      <c r="AF89" s="739"/>
      <c r="AG89" s="739"/>
    </row>
    <row r="90" spans="1:34">
      <c r="A90" s="100"/>
      <c r="B90" s="100"/>
      <c r="C90" s="100"/>
      <c r="D90" s="100"/>
      <c r="E90" s="100"/>
      <c r="F90" s="386"/>
      <c r="G90" s="386"/>
      <c r="H90" s="386"/>
      <c r="I90" s="386"/>
      <c r="J90" s="252"/>
      <c r="K90" s="713"/>
      <c r="L90" s="713"/>
      <c r="M90" s="713"/>
      <c r="N90" s="713"/>
      <c r="O90" s="713"/>
      <c r="P90" s="252"/>
      <c r="Q90" s="614"/>
      <c r="R90" s="614"/>
      <c r="S90" s="691"/>
      <c r="T90" s="739"/>
      <c r="U90" s="739"/>
      <c r="V90" s="739"/>
      <c r="W90" s="739"/>
      <c r="X90" s="691"/>
      <c r="Y90" s="739"/>
      <c r="Z90" s="739"/>
      <c r="AA90" s="739"/>
      <c r="AB90" s="739"/>
      <c r="AC90" s="691"/>
      <c r="AD90" s="739"/>
      <c r="AE90" s="739"/>
      <c r="AF90" s="739"/>
      <c r="AG90" s="739"/>
    </row>
    <row r="91" spans="1:34">
      <c r="A91" s="100"/>
      <c r="B91" s="100"/>
      <c r="C91" s="100"/>
      <c r="D91" s="100"/>
      <c r="E91" s="100"/>
      <c r="F91" s="386"/>
      <c r="G91" s="386"/>
      <c r="H91" s="386"/>
      <c r="I91" s="386"/>
      <c r="J91" s="252"/>
      <c r="K91" s="713"/>
      <c r="L91" s="713"/>
      <c r="M91" s="713"/>
      <c r="N91" s="713"/>
      <c r="O91" s="713"/>
      <c r="P91" s="252"/>
      <c r="Q91" s="614"/>
      <c r="R91" s="614"/>
      <c r="S91" s="691"/>
      <c r="T91" s="739"/>
      <c r="U91" s="739"/>
      <c r="V91" s="739"/>
      <c r="W91" s="739"/>
      <c r="X91" s="691"/>
      <c r="Y91" s="739"/>
      <c r="Z91" s="739"/>
      <c r="AA91" s="739"/>
      <c r="AB91" s="739"/>
      <c r="AC91" s="691"/>
      <c r="AD91" s="739"/>
      <c r="AE91" s="739"/>
      <c r="AF91" s="739"/>
      <c r="AG91" s="739"/>
    </row>
    <row r="92" spans="1:34">
      <c r="A92" s="401"/>
      <c r="B92" s="401"/>
      <c r="C92" s="401"/>
      <c r="D92" s="401"/>
      <c r="E92" s="401"/>
      <c r="F92" s="676"/>
      <c r="G92" s="676"/>
      <c r="H92" s="676"/>
      <c r="I92" s="676"/>
      <c r="J92" s="668"/>
      <c r="K92" s="768"/>
      <c r="L92" s="768"/>
      <c r="M92" s="768"/>
      <c r="N92" s="768"/>
      <c r="O92" s="768"/>
      <c r="P92" s="668"/>
      <c r="Q92" s="737"/>
      <c r="R92" s="737"/>
      <c r="S92" s="754"/>
      <c r="T92" s="769"/>
      <c r="U92" s="769"/>
      <c r="V92" s="769"/>
      <c r="W92" s="769"/>
      <c r="X92" s="754"/>
      <c r="Y92" s="769"/>
      <c r="Z92" s="769"/>
      <c r="AA92" s="769"/>
      <c r="AB92" s="769"/>
      <c r="AC92" s="754"/>
      <c r="AD92" s="769"/>
      <c r="AE92" s="769"/>
      <c r="AF92" s="769"/>
      <c r="AG92" s="769"/>
    </row>
    <row r="93" spans="1:34">
      <c r="A93" s="95" t="s">
        <v>3</v>
      </c>
      <c r="B93" s="392">
        <f>SUM(B77:B88)</f>
        <v>106</v>
      </c>
      <c r="C93" s="392">
        <f>SUM(C77:C88)</f>
        <v>120</v>
      </c>
      <c r="D93" s="392">
        <f t="shared" ref="D93:O93" si="12">SUM(D77:D88)</f>
        <v>125</v>
      </c>
      <c r="E93" s="392">
        <f t="shared" si="12"/>
        <v>82</v>
      </c>
      <c r="F93" s="392">
        <f t="shared" si="12"/>
        <v>57</v>
      </c>
      <c r="G93" s="392">
        <f t="shared" si="12"/>
        <v>0</v>
      </c>
      <c r="H93" s="392">
        <f t="shared" si="12"/>
        <v>0</v>
      </c>
      <c r="I93" s="392">
        <f t="shared" si="12"/>
        <v>0</v>
      </c>
      <c r="J93" s="106">
        <f>SUM(J77:J88)</f>
        <v>0</v>
      </c>
      <c r="K93" s="106">
        <f t="shared" si="12"/>
        <v>0</v>
      </c>
      <c r="L93" s="106">
        <f t="shared" si="12"/>
        <v>0</v>
      </c>
      <c r="M93" s="106">
        <f t="shared" si="12"/>
        <v>0</v>
      </c>
      <c r="N93" s="106">
        <f t="shared" si="12"/>
        <v>0</v>
      </c>
      <c r="O93" s="106">
        <f t="shared" si="12"/>
        <v>0</v>
      </c>
      <c r="P93" s="715">
        <f t="shared" si="6"/>
        <v>0</v>
      </c>
      <c r="Q93" s="106">
        <f>26+48+23+18+56+38</f>
        <v>209</v>
      </c>
      <c r="R93" s="106">
        <f>SUM(R77:R88)</f>
        <v>0</v>
      </c>
      <c r="S93" s="106">
        <f t="shared" ref="S93:AG93" si="13">SUM(S77:S88)</f>
        <v>0</v>
      </c>
      <c r="T93" s="106">
        <f t="shared" si="13"/>
        <v>0</v>
      </c>
      <c r="U93" s="106">
        <f t="shared" si="13"/>
        <v>0</v>
      </c>
      <c r="V93" s="106">
        <f t="shared" si="13"/>
        <v>0</v>
      </c>
      <c r="W93" s="106">
        <f t="shared" si="13"/>
        <v>0</v>
      </c>
      <c r="X93" s="106">
        <f t="shared" si="13"/>
        <v>0</v>
      </c>
      <c r="Y93" s="106">
        <f t="shared" si="13"/>
        <v>0</v>
      </c>
      <c r="Z93" s="106">
        <f t="shared" si="13"/>
        <v>0</v>
      </c>
      <c r="AA93" s="106">
        <f t="shared" si="13"/>
        <v>0</v>
      </c>
      <c r="AB93" s="106">
        <f t="shared" si="13"/>
        <v>0</v>
      </c>
      <c r="AC93" s="106">
        <f t="shared" si="13"/>
        <v>0</v>
      </c>
      <c r="AD93" s="106">
        <f t="shared" si="13"/>
        <v>0</v>
      </c>
      <c r="AE93" s="106">
        <f t="shared" si="13"/>
        <v>0</v>
      </c>
      <c r="AF93" s="106">
        <f t="shared" si="13"/>
        <v>0</v>
      </c>
      <c r="AG93" s="106">
        <f t="shared" si="13"/>
        <v>0</v>
      </c>
    </row>
    <row r="94" spans="1:34">
      <c r="A94" s="396" t="s">
        <v>26</v>
      </c>
      <c r="B94" s="404"/>
      <c r="C94" s="404"/>
      <c r="D94" s="404"/>
      <c r="E94" s="404"/>
      <c r="F94" s="385"/>
      <c r="G94" s="385"/>
      <c r="H94" s="385"/>
      <c r="I94" s="385"/>
      <c r="J94" s="254"/>
      <c r="K94" s="254"/>
      <c r="L94" s="254"/>
      <c r="M94" s="254"/>
      <c r="N94" s="254"/>
      <c r="O94" s="254"/>
      <c r="P94" s="254">
        <f t="shared" si="6"/>
        <v>0</v>
      </c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</row>
    <row r="95" spans="1:34">
      <c r="A95" s="398" t="s">
        <v>123</v>
      </c>
      <c r="B95" s="398">
        <v>42</v>
      </c>
      <c r="C95" s="398">
        <v>87</v>
      </c>
      <c r="D95" s="398">
        <v>55</v>
      </c>
      <c r="E95" s="398">
        <v>79</v>
      </c>
      <c r="F95" s="383">
        <v>18</v>
      </c>
      <c r="G95" s="383"/>
      <c r="H95" s="383"/>
      <c r="I95" s="383"/>
      <c r="J95" s="662"/>
      <c r="K95" s="734"/>
      <c r="L95" s="734"/>
      <c r="M95" s="734"/>
      <c r="N95" s="734"/>
      <c r="O95" s="734"/>
      <c r="P95" s="662"/>
      <c r="Q95" s="701"/>
      <c r="R95" s="701"/>
      <c r="S95" s="770"/>
      <c r="T95" s="770"/>
      <c r="U95" s="770"/>
      <c r="V95" s="770"/>
      <c r="W95" s="770"/>
      <c r="X95" s="770"/>
      <c r="Y95" s="770"/>
      <c r="Z95" s="770"/>
      <c r="AA95" s="770"/>
      <c r="AB95" s="770"/>
      <c r="AC95" s="770"/>
      <c r="AD95" s="770"/>
      <c r="AE95" s="770"/>
      <c r="AF95" s="770"/>
      <c r="AG95" s="770"/>
      <c r="AH95" s="461" t="s">
        <v>364</v>
      </c>
    </row>
    <row r="96" spans="1:34" hidden="1">
      <c r="A96" s="100" t="s">
        <v>118</v>
      </c>
      <c r="B96" s="100"/>
      <c r="C96" s="100"/>
      <c r="D96" s="100"/>
      <c r="E96" s="100"/>
      <c r="F96" s="386"/>
      <c r="G96" s="386"/>
      <c r="H96" s="386"/>
      <c r="I96" s="386"/>
      <c r="J96" s="252"/>
      <c r="K96" s="713"/>
      <c r="L96" s="713"/>
      <c r="M96" s="713"/>
      <c r="N96" s="713"/>
      <c r="O96" s="713"/>
      <c r="P96" s="252"/>
      <c r="Q96" s="614"/>
      <c r="R96" s="614"/>
      <c r="S96" s="691"/>
      <c r="T96" s="691"/>
      <c r="U96" s="691"/>
      <c r="V96" s="691"/>
      <c r="W96" s="691"/>
      <c r="X96" s="691"/>
      <c r="Y96" s="691"/>
      <c r="Z96" s="691"/>
      <c r="AA96" s="691"/>
      <c r="AB96" s="691"/>
      <c r="AC96" s="691"/>
      <c r="AD96" s="691"/>
      <c r="AE96" s="691"/>
      <c r="AF96" s="691"/>
      <c r="AG96" s="691"/>
    </row>
    <row r="97" spans="1:33" hidden="1">
      <c r="A97" s="100" t="s">
        <v>68</v>
      </c>
      <c r="B97" s="100"/>
      <c r="C97" s="100"/>
      <c r="D97" s="100"/>
      <c r="E97" s="100"/>
      <c r="F97" s="386"/>
      <c r="G97" s="386"/>
      <c r="H97" s="386"/>
      <c r="I97" s="386"/>
      <c r="J97" s="252"/>
      <c r="K97" s="252"/>
      <c r="L97" s="713"/>
      <c r="M97" s="252"/>
      <c r="N97" s="252"/>
      <c r="O97" s="252"/>
      <c r="P97" s="252"/>
      <c r="Q97" s="614"/>
      <c r="R97" s="614"/>
      <c r="S97" s="691"/>
      <c r="T97" s="691"/>
      <c r="U97" s="691"/>
      <c r="V97" s="691"/>
      <c r="W97" s="691"/>
      <c r="X97" s="691"/>
      <c r="Y97" s="691"/>
      <c r="Z97" s="691"/>
      <c r="AA97" s="691"/>
      <c r="AB97" s="691"/>
      <c r="AC97" s="691"/>
      <c r="AD97" s="691"/>
      <c r="AE97" s="691"/>
      <c r="AF97" s="691"/>
      <c r="AG97" s="691"/>
    </row>
    <row r="98" spans="1:33">
      <c r="A98" s="100" t="s">
        <v>146</v>
      </c>
      <c r="B98" s="100"/>
      <c r="C98" s="100"/>
      <c r="D98" s="100"/>
      <c r="E98" s="100"/>
      <c r="F98" s="386">
        <v>1</v>
      </c>
      <c r="G98" s="386"/>
      <c r="H98" s="386"/>
      <c r="I98" s="386"/>
      <c r="J98" s="252"/>
      <c r="K98" s="252"/>
      <c r="L98" s="252"/>
      <c r="M98" s="252"/>
      <c r="N98" s="252"/>
      <c r="O98" s="252"/>
      <c r="P98" s="252"/>
      <c r="Q98" s="614"/>
      <c r="R98" s="614"/>
      <c r="S98" s="739"/>
      <c r="T98" s="739"/>
      <c r="U98" s="739"/>
      <c r="V98" s="739"/>
      <c r="W98" s="739"/>
      <c r="X98" s="739"/>
      <c r="Y98" s="739"/>
      <c r="Z98" s="739"/>
      <c r="AA98" s="739"/>
      <c r="AB98" s="739"/>
      <c r="AC98" s="739"/>
      <c r="AD98" s="739"/>
      <c r="AE98" s="739"/>
      <c r="AF98" s="739"/>
      <c r="AG98" s="739"/>
    </row>
    <row r="99" spans="1:33" hidden="1">
      <c r="A99" s="100" t="s">
        <v>124</v>
      </c>
      <c r="B99" s="100"/>
      <c r="C99" s="100"/>
      <c r="D99" s="100"/>
      <c r="E99" s="100"/>
      <c r="F99" s="386"/>
      <c r="G99" s="386"/>
      <c r="H99" s="386"/>
      <c r="I99" s="386"/>
      <c r="J99" s="252"/>
      <c r="K99" s="713"/>
      <c r="L99" s="713"/>
      <c r="M99" s="713"/>
      <c r="N99" s="252"/>
      <c r="O99" s="713"/>
      <c r="P99" s="252"/>
      <c r="Q99" s="614"/>
      <c r="R99" s="614"/>
      <c r="S99" s="691"/>
      <c r="T99" s="691"/>
      <c r="U99" s="691"/>
      <c r="V99" s="691"/>
      <c r="W99" s="691"/>
      <c r="X99" s="691"/>
      <c r="Y99" s="691"/>
      <c r="Z99" s="691"/>
      <c r="AA99" s="691"/>
      <c r="AB99" s="691"/>
      <c r="AC99" s="691"/>
      <c r="AD99" s="691"/>
      <c r="AE99" s="691"/>
      <c r="AF99" s="691"/>
      <c r="AG99" s="691"/>
    </row>
    <row r="100" spans="1:33" hidden="1">
      <c r="A100" s="100" t="s">
        <v>69</v>
      </c>
      <c r="B100" s="100"/>
      <c r="C100" s="100"/>
      <c r="D100" s="100"/>
      <c r="E100" s="100"/>
      <c r="F100" s="386"/>
      <c r="G100" s="386"/>
      <c r="H100" s="386"/>
      <c r="I100" s="386"/>
      <c r="J100" s="252"/>
      <c r="K100" s="252"/>
      <c r="L100" s="713"/>
      <c r="M100" s="713"/>
      <c r="N100" s="252"/>
      <c r="O100" s="252"/>
      <c r="P100" s="252"/>
      <c r="Q100" s="614"/>
      <c r="R100" s="614"/>
      <c r="S100" s="691"/>
      <c r="T100" s="691"/>
      <c r="U100" s="691"/>
      <c r="V100" s="691"/>
      <c r="W100" s="691"/>
      <c r="X100" s="691"/>
      <c r="Y100" s="691"/>
      <c r="Z100" s="691"/>
      <c r="AA100" s="691"/>
      <c r="AB100" s="691"/>
      <c r="AC100" s="691"/>
      <c r="AD100" s="691"/>
      <c r="AE100" s="691"/>
      <c r="AF100" s="691"/>
      <c r="AG100" s="691"/>
    </row>
    <row r="101" spans="1:33">
      <c r="A101" s="100" t="s">
        <v>42</v>
      </c>
      <c r="B101" s="100">
        <v>58</v>
      </c>
      <c r="C101" s="100">
        <v>53</v>
      </c>
      <c r="D101" s="100">
        <v>12</v>
      </c>
      <c r="E101" s="100">
        <v>2</v>
      </c>
      <c r="F101" s="386">
        <v>3</v>
      </c>
      <c r="G101" s="386"/>
      <c r="H101" s="386"/>
      <c r="I101" s="386"/>
      <c r="J101" s="252"/>
      <c r="K101" s="713"/>
      <c r="L101" s="713"/>
      <c r="M101" s="713"/>
      <c r="N101" s="252"/>
      <c r="O101" s="252"/>
      <c r="P101" s="252"/>
      <c r="Q101" s="614"/>
      <c r="R101" s="614"/>
      <c r="S101" s="738"/>
      <c r="T101" s="738"/>
      <c r="U101" s="738"/>
      <c r="V101" s="738"/>
      <c r="W101" s="738"/>
      <c r="X101" s="738"/>
      <c r="Y101" s="738"/>
      <c r="Z101" s="738"/>
      <c r="AA101" s="738"/>
      <c r="AB101" s="738"/>
      <c r="AC101" s="738"/>
      <c r="AD101" s="738"/>
      <c r="AE101" s="738"/>
      <c r="AF101" s="738"/>
      <c r="AG101" s="738"/>
    </row>
    <row r="102" spans="1:33">
      <c r="A102" s="100" t="s">
        <v>142</v>
      </c>
      <c r="B102" s="100"/>
      <c r="C102" s="100">
        <v>34</v>
      </c>
      <c r="D102" s="100">
        <v>24</v>
      </c>
      <c r="E102" s="100">
        <v>4</v>
      </c>
      <c r="F102" s="386">
        <v>10</v>
      </c>
      <c r="G102" s="386"/>
      <c r="H102" s="386"/>
      <c r="I102" s="386"/>
      <c r="J102" s="252"/>
      <c r="K102" s="713"/>
      <c r="L102" s="713"/>
      <c r="M102" s="252"/>
      <c r="N102" s="713"/>
      <c r="O102" s="252"/>
      <c r="P102" s="252"/>
      <c r="Q102" s="614"/>
      <c r="R102" s="614"/>
      <c r="S102" s="739"/>
      <c r="T102" s="739"/>
      <c r="U102" s="739"/>
      <c r="V102" s="739"/>
      <c r="W102" s="739"/>
      <c r="X102" s="739"/>
      <c r="Y102" s="739"/>
      <c r="Z102" s="739"/>
      <c r="AA102" s="739"/>
      <c r="AB102" s="739"/>
      <c r="AC102" s="739"/>
      <c r="AD102" s="739"/>
      <c r="AE102" s="739"/>
      <c r="AF102" s="739"/>
      <c r="AG102" s="739"/>
    </row>
    <row r="103" spans="1:33" hidden="1">
      <c r="A103" s="100" t="s">
        <v>29</v>
      </c>
      <c r="B103" s="100"/>
      <c r="C103" s="100"/>
      <c r="D103" s="100"/>
      <c r="E103" s="100"/>
      <c r="F103" s="386"/>
      <c r="G103" s="386"/>
      <c r="H103" s="386"/>
      <c r="I103" s="386"/>
      <c r="J103" s="252"/>
      <c r="K103" s="713"/>
      <c r="L103" s="252"/>
      <c r="M103" s="252"/>
      <c r="N103" s="252"/>
      <c r="O103" s="252"/>
      <c r="P103" s="252"/>
      <c r="Q103" s="614"/>
      <c r="R103" s="614"/>
      <c r="S103" s="691"/>
      <c r="T103" s="691"/>
      <c r="U103" s="691"/>
      <c r="V103" s="691"/>
      <c r="W103" s="691"/>
      <c r="X103" s="691"/>
      <c r="Y103" s="691"/>
      <c r="Z103" s="691"/>
      <c r="AA103" s="691"/>
      <c r="AB103" s="691"/>
      <c r="AC103" s="691"/>
      <c r="AD103" s="691"/>
      <c r="AE103" s="691"/>
      <c r="AF103" s="691"/>
      <c r="AG103" s="691"/>
    </row>
    <row r="104" spans="1:33" hidden="1">
      <c r="A104" s="100" t="s">
        <v>95</v>
      </c>
      <c r="B104" s="100"/>
      <c r="C104" s="100"/>
      <c r="D104" s="100"/>
      <c r="E104" s="100"/>
      <c r="F104" s="386"/>
      <c r="G104" s="386"/>
      <c r="H104" s="386"/>
      <c r="I104" s="386"/>
      <c r="J104" s="252"/>
      <c r="K104" s="713"/>
      <c r="L104" s="252"/>
      <c r="M104" s="252"/>
      <c r="N104" s="252"/>
      <c r="O104" s="252"/>
      <c r="P104" s="252"/>
      <c r="Q104" s="614"/>
      <c r="R104" s="614"/>
      <c r="S104" s="691"/>
      <c r="T104" s="691"/>
      <c r="U104" s="691"/>
      <c r="V104" s="691"/>
      <c r="W104" s="691"/>
      <c r="X104" s="691"/>
      <c r="Y104" s="691"/>
      <c r="Z104" s="691"/>
      <c r="AA104" s="691"/>
      <c r="AB104" s="691"/>
      <c r="AC104" s="691"/>
      <c r="AD104" s="691"/>
      <c r="AE104" s="691"/>
      <c r="AF104" s="691"/>
      <c r="AG104" s="691"/>
    </row>
    <row r="105" spans="1:33" hidden="1">
      <c r="A105" s="100" t="s">
        <v>30</v>
      </c>
      <c r="B105" s="100"/>
      <c r="C105" s="100"/>
      <c r="D105" s="100"/>
      <c r="E105" s="100"/>
      <c r="F105" s="386"/>
      <c r="G105" s="386"/>
      <c r="H105" s="386"/>
      <c r="I105" s="386"/>
      <c r="J105" s="252"/>
      <c r="K105" s="252"/>
      <c r="L105" s="252"/>
      <c r="M105" s="252"/>
      <c r="N105" s="252"/>
      <c r="O105" s="252"/>
      <c r="P105" s="252"/>
      <c r="Q105" s="614"/>
      <c r="R105" s="614"/>
      <c r="S105" s="691"/>
      <c r="T105" s="691"/>
      <c r="U105" s="691"/>
      <c r="V105" s="691"/>
      <c r="W105" s="691"/>
      <c r="X105" s="691"/>
      <c r="Y105" s="691"/>
      <c r="Z105" s="691"/>
      <c r="AA105" s="691"/>
      <c r="AB105" s="691"/>
      <c r="AC105" s="691"/>
      <c r="AD105" s="691"/>
      <c r="AE105" s="691"/>
      <c r="AF105" s="691"/>
      <c r="AG105" s="691"/>
    </row>
    <row r="106" spans="1:33" hidden="1">
      <c r="A106" s="100" t="s">
        <v>31</v>
      </c>
      <c r="B106" s="100"/>
      <c r="C106" s="100"/>
      <c r="D106" s="100"/>
      <c r="E106" s="100"/>
      <c r="F106" s="386"/>
      <c r="G106" s="386"/>
      <c r="H106" s="386"/>
      <c r="I106" s="386"/>
      <c r="J106" s="252"/>
      <c r="K106" s="252"/>
      <c r="L106" s="252"/>
      <c r="M106" s="252"/>
      <c r="N106" s="252"/>
      <c r="O106" s="252"/>
      <c r="P106" s="252"/>
      <c r="Q106" s="614"/>
      <c r="R106" s="614"/>
      <c r="S106" s="691"/>
      <c r="T106" s="691"/>
      <c r="U106" s="691"/>
      <c r="V106" s="691"/>
      <c r="W106" s="691"/>
      <c r="X106" s="691"/>
      <c r="Y106" s="691"/>
      <c r="Z106" s="691"/>
      <c r="AA106" s="691"/>
      <c r="AB106" s="691"/>
      <c r="AC106" s="691"/>
      <c r="AD106" s="691"/>
      <c r="AE106" s="691"/>
      <c r="AF106" s="691"/>
      <c r="AG106" s="691"/>
    </row>
    <row r="107" spans="1:33" hidden="1">
      <c r="A107" s="100" t="s">
        <v>32</v>
      </c>
      <c r="B107" s="100"/>
      <c r="C107" s="100"/>
      <c r="D107" s="100"/>
      <c r="E107" s="100"/>
      <c r="F107" s="386"/>
      <c r="G107" s="386"/>
      <c r="H107" s="386"/>
      <c r="I107" s="386"/>
      <c r="J107" s="252"/>
      <c r="K107" s="252"/>
      <c r="L107" s="713"/>
      <c r="M107" s="713"/>
      <c r="N107" s="252"/>
      <c r="O107" s="252"/>
      <c r="P107" s="252"/>
      <c r="Q107" s="614"/>
      <c r="R107" s="614"/>
      <c r="S107" s="691"/>
      <c r="T107" s="691"/>
      <c r="U107" s="691"/>
      <c r="V107" s="691"/>
      <c r="W107" s="691"/>
      <c r="X107" s="691"/>
      <c r="Y107" s="691"/>
      <c r="Z107" s="691"/>
      <c r="AA107" s="691"/>
      <c r="AB107" s="691"/>
      <c r="AC107" s="691"/>
      <c r="AD107" s="691"/>
      <c r="AE107" s="691"/>
      <c r="AF107" s="691"/>
      <c r="AG107" s="691"/>
    </row>
    <row r="108" spans="1:33" hidden="1">
      <c r="A108" s="100" t="s">
        <v>33</v>
      </c>
      <c r="B108" s="100"/>
      <c r="C108" s="100"/>
      <c r="D108" s="100"/>
      <c r="E108" s="100"/>
      <c r="F108" s="386"/>
      <c r="G108" s="386"/>
      <c r="H108" s="386"/>
      <c r="I108" s="386"/>
      <c r="J108" s="252"/>
      <c r="K108" s="252"/>
      <c r="L108" s="252"/>
      <c r="M108" s="713"/>
      <c r="N108" s="252"/>
      <c r="O108" s="252"/>
      <c r="P108" s="252"/>
      <c r="Q108" s="614"/>
      <c r="R108" s="614"/>
      <c r="S108" s="691"/>
      <c r="T108" s="691"/>
      <c r="U108" s="691"/>
      <c r="V108" s="691"/>
      <c r="W108" s="691"/>
      <c r="X108" s="691"/>
      <c r="Y108" s="691"/>
      <c r="Z108" s="691"/>
      <c r="AA108" s="691"/>
      <c r="AB108" s="691"/>
      <c r="AC108" s="691"/>
      <c r="AD108" s="691"/>
      <c r="AE108" s="691"/>
      <c r="AF108" s="691"/>
      <c r="AG108" s="691"/>
    </row>
    <row r="109" spans="1:33" hidden="1">
      <c r="A109" s="100" t="s">
        <v>142</v>
      </c>
      <c r="B109" s="100"/>
      <c r="C109" s="100"/>
      <c r="D109" s="100"/>
      <c r="E109" s="100"/>
      <c r="F109" s="386"/>
      <c r="G109" s="386"/>
      <c r="H109" s="386"/>
      <c r="I109" s="386"/>
      <c r="J109" s="252"/>
      <c r="K109" s="713"/>
      <c r="L109" s="713"/>
      <c r="M109" s="252"/>
      <c r="N109" s="713"/>
      <c r="O109" s="252"/>
      <c r="P109" s="252"/>
      <c r="Q109" s="614"/>
      <c r="R109" s="614"/>
      <c r="S109" s="691"/>
      <c r="T109" s="691"/>
      <c r="U109" s="691"/>
      <c r="V109" s="691"/>
      <c r="W109" s="691"/>
      <c r="X109" s="691"/>
      <c r="Y109" s="691"/>
      <c r="Z109" s="691"/>
      <c r="AA109" s="691"/>
      <c r="AB109" s="691"/>
      <c r="AC109" s="691"/>
      <c r="AD109" s="691"/>
      <c r="AE109" s="691"/>
      <c r="AF109" s="691"/>
      <c r="AG109" s="691"/>
    </row>
    <row r="110" spans="1:33" hidden="1">
      <c r="A110" s="100" t="s">
        <v>146</v>
      </c>
      <c r="B110" s="100"/>
      <c r="C110" s="100"/>
      <c r="D110" s="100"/>
      <c r="E110" s="100"/>
      <c r="F110" s="386"/>
      <c r="G110" s="386"/>
      <c r="H110" s="386"/>
      <c r="I110" s="386"/>
      <c r="J110" s="252"/>
      <c r="K110" s="252"/>
      <c r="L110" s="252"/>
      <c r="M110" s="252"/>
      <c r="N110" s="252"/>
      <c r="O110" s="252"/>
      <c r="P110" s="252"/>
      <c r="Q110" s="614"/>
      <c r="R110" s="614"/>
      <c r="S110" s="691"/>
      <c r="T110" s="691"/>
      <c r="U110" s="691"/>
      <c r="V110" s="691"/>
      <c r="W110" s="691"/>
      <c r="X110" s="691"/>
      <c r="Y110" s="691"/>
      <c r="Z110" s="691"/>
      <c r="AA110" s="691"/>
      <c r="AB110" s="691"/>
      <c r="AC110" s="691"/>
      <c r="AD110" s="691"/>
      <c r="AE110" s="691"/>
      <c r="AF110" s="691"/>
      <c r="AG110" s="691"/>
    </row>
    <row r="111" spans="1:33">
      <c r="A111" s="100" t="s">
        <v>344</v>
      </c>
      <c r="B111" s="100">
        <v>29</v>
      </c>
      <c r="C111" s="100"/>
      <c r="D111" s="100"/>
      <c r="E111" s="100"/>
      <c r="F111" s="386"/>
      <c r="G111" s="386"/>
      <c r="H111" s="386"/>
      <c r="I111" s="386"/>
      <c r="J111" s="252"/>
      <c r="K111" s="713"/>
      <c r="L111" s="713"/>
      <c r="M111" s="713"/>
      <c r="N111" s="252"/>
      <c r="O111" s="252"/>
      <c r="P111" s="252"/>
      <c r="Q111" s="614"/>
      <c r="R111" s="614"/>
      <c r="S111" s="738"/>
      <c r="T111" s="738"/>
      <c r="U111" s="738"/>
      <c r="V111" s="738"/>
      <c r="W111" s="738"/>
      <c r="X111" s="738"/>
      <c r="Y111" s="738"/>
      <c r="Z111" s="738"/>
      <c r="AA111" s="738"/>
      <c r="AB111" s="738"/>
      <c r="AC111" s="738"/>
      <c r="AD111" s="738"/>
      <c r="AE111" s="738"/>
      <c r="AF111" s="738"/>
      <c r="AG111" s="738"/>
    </row>
    <row r="112" spans="1:33">
      <c r="A112" s="100" t="s">
        <v>141</v>
      </c>
      <c r="B112" s="100">
        <v>41</v>
      </c>
      <c r="C112" s="100">
        <v>43</v>
      </c>
      <c r="D112" s="100">
        <v>19</v>
      </c>
      <c r="E112" s="100">
        <v>10</v>
      </c>
      <c r="F112" s="386">
        <v>9</v>
      </c>
      <c r="G112" s="386"/>
      <c r="H112" s="386"/>
      <c r="I112" s="386"/>
      <c r="J112" s="252"/>
      <c r="K112" s="713"/>
      <c r="L112" s="713"/>
      <c r="M112" s="713"/>
      <c r="N112" s="252"/>
      <c r="O112" s="252"/>
      <c r="P112" s="252"/>
      <c r="Q112" s="614"/>
      <c r="R112" s="614"/>
      <c r="S112" s="738"/>
      <c r="T112" s="738"/>
      <c r="U112" s="738"/>
      <c r="V112" s="738"/>
      <c r="W112" s="738"/>
      <c r="X112" s="738"/>
      <c r="Y112" s="738"/>
      <c r="Z112" s="738"/>
      <c r="AA112" s="738"/>
      <c r="AB112" s="738"/>
      <c r="AC112" s="738"/>
      <c r="AD112" s="738"/>
      <c r="AE112" s="738"/>
      <c r="AF112" s="738"/>
      <c r="AG112" s="738"/>
    </row>
    <row r="113" spans="1:33" hidden="1">
      <c r="A113" s="100" t="s">
        <v>157</v>
      </c>
      <c r="B113" s="100"/>
      <c r="C113" s="100"/>
      <c r="D113" s="100"/>
      <c r="E113" s="100"/>
      <c r="F113" s="386"/>
      <c r="G113" s="386"/>
      <c r="H113" s="386"/>
      <c r="I113" s="386"/>
      <c r="J113" s="252">
        <f>SUM(C113:H113)</f>
        <v>0</v>
      </c>
      <c r="K113" s="252"/>
      <c r="L113" s="252"/>
      <c r="M113" s="252"/>
      <c r="N113" s="252"/>
      <c r="O113" s="252"/>
      <c r="P113" s="252">
        <f t="shared" si="6"/>
        <v>0</v>
      </c>
      <c r="Q113" s="614"/>
      <c r="R113" s="614"/>
      <c r="S113" s="691"/>
      <c r="T113" s="691"/>
      <c r="U113" s="691"/>
      <c r="V113" s="691"/>
      <c r="W113" s="691"/>
      <c r="X113" s="691"/>
      <c r="Y113" s="691"/>
      <c r="Z113" s="691"/>
      <c r="AA113" s="691"/>
      <c r="AB113" s="691"/>
      <c r="AC113" s="691"/>
      <c r="AD113" s="691"/>
      <c r="AE113" s="691"/>
      <c r="AF113" s="691"/>
      <c r="AG113" s="691"/>
    </row>
    <row r="114" spans="1:33" hidden="1">
      <c r="A114" s="100" t="s">
        <v>35</v>
      </c>
      <c r="B114" s="100"/>
      <c r="C114" s="100"/>
      <c r="D114" s="100"/>
      <c r="E114" s="100"/>
      <c r="F114" s="386"/>
      <c r="G114" s="386"/>
      <c r="H114" s="386"/>
      <c r="I114" s="386"/>
      <c r="J114" s="252"/>
      <c r="K114" s="252"/>
      <c r="L114" s="252"/>
      <c r="M114" s="252"/>
      <c r="N114" s="252"/>
      <c r="O114" s="252"/>
      <c r="P114" s="252">
        <f t="shared" si="6"/>
        <v>0</v>
      </c>
      <c r="Q114" s="614"/>
      <c r="R114" s="614"/>
      <c r="S114" s="691"/>
      <c r="T114" s="691"/>
      <c r="U114" s="691"/>
      <c r="V114" s="691"/>
      <c r="W114" s="691"/>
      <c r="X114" s="691"/>
      <c r="Y114" s="691"/>
      <c r="Z114" s="691"/>
      <c r="AA114" s="691"/>
      <c r="AB114" s="691"/>
      <c r="AC114" s="691"/>
      <c r="AD114" s="691"/>
      <c r="AE114" s="691"/>
      <c r="AF114" s="691"/>
      <c r="AG114" s="691"/>
    </row>
    <row r="115" spans="1:33">
      <c r="A115" s="681" t="s">
        <v>396</v>
      </c>
      <c r="B115" s="100"/>
      <c r="C115" s="100"/>
      <c r="D115" s="100"/>
      <c r="E115" s="100"/>
      <c r="F115" s="386"/>
      <c r="G115" s="386"/>
      <c r="H115" s="386"/>
      <c r="I115" s="386"/>
      <c r="J115" s="252"/>
      <c r="K115" s="252"/>
      <c r="L115" s="252"/>
      <c r="M115" s="252"/>
      <c r="N115" s="252"/>
      <c r="O115" s="252"/>
      <c r="P115" s="252"/>
      <c r="Q115" s="614"/>
      <c r="R115" s="614"/>
      <c r="S115" s="691"/>
      <c r="T115" s="691"/>
      <c r="U115" s="691"/>
      <c r="V115" s="691"/>
      <c r="W115" s="691"/>
      <c r="X115" s="691"/>
      <c r="Y115" s="691"/>
      <c r="Z115" s="691"/>
      <c r="AA115" s="691"/>
      <c r="AB115" s="691"/>
      <c r="AC115" s="691"/>
      <c r="AD115" s="691"/>
      <c r="AE115" s="691"/>
      <c r="AF115" s="691"/>
      <c r="AG115" s="691"/>
    </row>
    <row r="116" spans="1:33">
      <c r="A116" s="100"/>
      <c r="B116" s="100"/>
      <c r="C116" s="100"/>
      <c r="D116" s="100"/>
      <c r="E116" s="100"/>
      <c r="F116" s="386"/>
      <c r="G116" s="386"/>
      <c r="H116" s="386"/>
      <c r="I116" s="386"/>
      <c r="J116" s="252"/>
      <c r="K116" s="252"/>
      <c r="L116" s="252"/>
      <c r="M116" s="252"/>
      <c r="N116" s="252"/>
      <c r="O116" s="252"/>
      <c r="P116" s="252"/>
      <c r="Q116" s="614"/>
      <c r="R116" s="614"/>
      <c r="S116" s="691"/>
      <c r="T116" s="691"/>
      <c r="U116" s="691"/>
      <c r="V116" s="691"/>
      <c r="W116" s="691"/>
      <c r="X116" s="691"/>
      <c r="Y116" s="691"/>
      <c r="Z116" s="691"/>
      <c r="AA116" s="691"/>
      <c r="AB116" s="691"/>
      <c r="AC116" s="691"/>
      <c r="AD116" s="691"/>
      <c r="AE116" s="691"/>
      <c r="AF116" s="691"/>
      <c r="AG116" s="691"/>
    </row>
    <row r="117" spans="1:33">
      <c r="A117" s="100"/>
      <c r="B117" s="100"/>
      <c r="C117" s="100"/>
      <c r="D117" s="100"/>
      <c r="E117" s="100"/>
      <c r="F117" s="386"/>
      <c r="G117" s="386"/>
      <c r="H117" s="386"/>
      <c r="I117" s="386"/>
      <c r="J117" s="252"/>
      <c r="K117" s="252"/>
      <c r="L117" s="252"/>
      <c r="M117" s="252"/>
      <c r="N117" s="252"/>
      <c r="O117" s="252"/>
      <c r="P117" s="252"/>
      <c r="Q117" s="614"/>
      <c r="R117" s="614"/>
      <c r="S117" s="691"/>
      <c r="T117" s="691"/>
      <c r="U117" s="691"/>
      <c r="V117" s="691"/>
      <c r="W117" s="691"/>
      <c r="X117" s="691"/>
      <c r="Y117" s="691"/>
      <c r="Z117" s="691"/>
      <c r="AA117" s="691"/>
      <c r="AB117" s="691"/>
      <c r="AC117" s="691"/>
      <c r="AD117" s="691"/>
      <c r="AE117" s="691"/>
      <c r="AF117" s="691"/>
      <c r="AG117" s="691"/>
    </row>
    <row r="118" spans="1:33">
      <c r="A118" s="100"/>
      <c r="B118" s="100"/>
      <c r="C118" s="100"/>
      <c r="D118" s="100"/>
      <c r="E118" s="100"/>
      <c r="F118" s="386"/>
      <c r="G118" s="386"/>
      <c r="H118" s="386"/>
      <c r="I118" s="386"/>
      <c r="J118" s="252"/>
      <c r="K118" s="252"/>
      <c r="L118" s="252"/>
      <c r="M118" s="252"/>
      <c r="N118" s="252"/>
      <c r="O118" s="252"/>
      <c r="P118" s="252"/>
      <c r="Q118" s="614"/>
      <c r="R118" s="614"/>
      <c r="S118" s="691"/>
      <c r="T118" s="691"/>
      <c r="U118" s="691"/>
      <c r="V118" s="691"/>
      <c r="W118" s="691"/>
      <c r="X118" s="691"/>
      <c r="Y118" s="691"/>
      <c r="Z118" s="691"/>
      <c r="AA118" s="691"/>
      <c r="AB118" s="691"/>
      <c r="AC118" s="691"/>
      <c r="AD118" s="691"/>
      <c r="AE118" s="691"/>
      <c r="AF118" s="691"/>
      <c r="AG118" s="691"/>
    </row>
    <row r="119" spans="1:33">
      <c r="A119" s="401"/>
      <c r="B119" s="401"/>
      <c r="C119" s="401"/>
      <c r="D119" s="401"/>
      <c r="E119" s="401"/>
      <c r="F119" s="676"/>
      <c r="G119" s="676"/>
      <c r="H119" s="676"/>
      <c r="I119" s="676"/>
      <c r="J119" s="668"/>
      <c r="K119" s="668"/>
      <c r="L119" s="668"/>
      <c r="M119" s="668"/>
      <c r="N119" s="668"/>
      <c r="O119" s="668"/>
      <c r="P119" s="668"/>
      <c r="Q119" s="737"/>
      <c r="R119" s="737"/>
      <c r="S119" s="754"/>
      <c r="T119" s="754"/>
      <c r="U119" s="754"/>
      <c r="V119" s="754"/>
      <c r="W119" s="754"/>
      <c r="X119" s="754"/>
      <c r="Y119" s="754"/>
      <c r="Z119" s="754"/>
      <c r="AA119" s="754"/>
      <c r="AB119" s="754"/>
      <c r="AC119" s="754"/>
      <c r="AD119" s="754"/>
      <c r="AE119" s="754"/>
      <c r="AF119" s="754"/>
      <c r="AG119" s="754"/>
    </row>
    <row r="120" spans="1:33">
      <c r="A120" s="95" t="s">
        <v>3</v>
      </c>
      <c r="B120" s="392">
        <f t="shared" ref="B120:O120" si="14">SUM(B95:B114)</f>
        <v>170</v>
      </c>
      <c r="C120" s="392">
        <f t="shared" si="14"/>
        <v>217</v>
      </c>
      <c r="D120" s="392">
        <f t="shared" si="14"/>
        <v>110</v>
      </c>
      <c r="E120" s="392">
        <f t="shared" si="14"/>
        <v>95</v>
      </c>
      <c r="F120" s="392">
        <f t="shared" si="14"/>
        <v>41</v>
      </c>
      <c r="G120" s="392">
        <f t="shared" si="14"/>
        <v>0</v>
      </c>
      <c r="H120" s="392">
        <f t="shared" si="14"/>
        <v>0</v>
      </c>
      <c r="I120" s="392">
        <f t="shared" si="14"/>
        <v>0</v>
      </c>
      <c r="J120" s="106">
        <f t="shared" si="14"/>
        <v>0</v>
      </c>
      <c r="K120" s="106">
        <f t="shared" si="14"/>
        <v>0</v>
      </c>
      <c r="L120" s="106">
        <f t="shared" si="14"/>
        <v>0</v>
      </c>
      <c r="M120" s="106">
        <f t="shared" si="14"/>
        <v>0</v>
      </c>
      <c r="N120" s="106">
        <f t="shared" si="14"/>
        <v>0</v>
      </c>
      <c r="O120" s="106">
        <f t="shared" si="14"/>
        <v>0</v>
      </c>
      <c r="P120" s="106">
        <f t="shared" si="6"/>
        <v>0</v>
      </c>
      <c r="Q120" s="491"/>
      <c r="R120" s="106">
        <f t="shared" ref="R120:AG120" si="15">SUM(R95:R114)</f>
        <v>0</v>
      </c>
      <c r="S120" s="106">
        <f t="shared" si="15"/>
        <v>0</v>
      </c>
      <c r="T120" s="106">
        <f t="shared" si="15"/>
        <v>0</v>
      </c>
      <c r="U120" s="106">
        <f t="shared" si="15"/>
        <v>0</v>
      </c>
      <c r="V120" s="106">
        <f t="shared" si="15"/>
        <v>0</v>
      </c>
      <c r="W120" s="106">
        <f t="shared" si="15"/>
        <v>0</v>
      </c>
      <c r="X120" s="106">
        <f t="shared" si="15"/>
        <v>0</v>
      </c>
      <c r="Y120" s="106">
        <f t="shared" si="15"/>
        <v>0</v>
      </c>
      <c r="Z120" s="106">
        <f t="shared" si="15"/>
        <v>0</v>
      </c>
      <c r="AA120" s="106">
        <f t="shared" si="15"/>
        <v>0</v>
      </c>
      <c r="AB120" s="106">
        <f t="shared" si="15"/>
        <v>0</v>
      </c>
      <c r="AC120" s="106">
        <f t="shared" si="15"/>
        <v>0</v>
      </c>
      <c r="AD120" s="106">
        <f t="shared" si="15"/>
        <v>0</v>
      </c>
      <c r="AE120" s="106">
        <f t="shared" si="15"/>
        <v>0</v>
      </c>
      <c r="AF120" s="106">
        <f t="shared" si="15"/>
        <v>0</v>
      </c>
      <c r="AG120" s="106">
        <f t="shared" si="15"/>
        <v>0</v>
      </c>
    </row>
    <row r="121" spans="1:33" hidden="1">
      <c r="A121" s="697" t="s">
        <v>36</v>
      </c>
      <c r="B121" s="414">
        <f t="shared" ref="B121:J121" si="16">SUM(B25,B54,B75,B93,B120,B63)</f>
        <v>358</v>
      </c>
      <c r="C121" s="414">
        <f t="shared" si="16"/>
        <v>387</v>
      </c>
      <c r="D121" s="414">
        <f t="shared" si="16"/>
        <v>255</v>
      </c>
      <c r="E121" s="414">
        <f t="shared" si="16"/>
        <v>215</v>
      </c>
      <c r="F121" s="414">
        <f t="shared" si="16"/>
        <v>110</v>
      </c>
      <c r="G121" s="414">
        <f t="shared" si="16"/>
        <v>0</v>
      </c>
      <c r="H121" s="414">
        <f t="shared" si="16"/>
        <v>0</v>
      </c>
      <c r="I121" s="414">
        <f t="shared" si="16"/>
        <v>0</v>
      </c>
      <c r="J121" s="719">
        <f t="shared" si="16"/>
        <v>0</v>
      </c>
      <c r="K121" s="719">
        <f t="shared" ref="K121:P121" si="17">SUM(K25,K54,K75,K93,K120)</f>
        <v>395</v>
      </c>
      <c r="L121" s="719">
        <f t="shared" si="17"/>
        <v>446</v>
      </c>
      <c r="M121" s="719">
        <f t="shared" si="17"/>
        <v>36</v>
      </c>
      <c r="N121" s="719">
        <f t="shared" si="17"/>
        <v>55</v>
      </c>
      <c r="O121" s="719">
        <f t="shared" si="17"/>
        <v>0</v>
      </c>
      <c r="P121" s="719">
        <f t="shared" si="17"/>
        <v>932</v>
      </c>
      <c r="Q121" s="421">
        <v>3678</v>
      </c>
      <c r="S121" s="695"/>
      <c r="T121" s="695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  <c r="AF121" s="695"/>
      <c r="AG121" s="695"/>
    </row>
    <row r="122" spans="1:33" hidden="1">
      <c r="B122" s="169">
        <f>B121+บัณฑิตศึกษา!B41</f>
        <v>732</v>
      </c>
      <c r="G122" s="169">
        <f>J121+บัณฑิตศึกษา!I41</f>
        <v>1040</v>
      </c>
      <c r="J122" s="626" t="e">
        <f>#REF!-#REF!</f>
        <v>#REF!</v>
      </c>
    </row>
    <row r="123" spans="1:33" hidden="1">
      <c r="A123" s="875" t="s">
        <v>353</v>
      </c>
      <c r="B123" s="876"/>
      <c r="C123" s="876"/>
      <c r="D123" s="876"/>
      <c r="G123" s="417"/>
      <c r="H123" s="417"/>
      <c r="I123" s="417"/>
      <c r="J123" s="720">
        <v>1538</v>
      </c>
      <c r="K123" s="721"/>
      <c r="L123" s="721"/>
      <c r="M123" s="721"/>
      <c r="N123" s="721"/>
      <c r="O123" s="721"/>
      <c r="P123" s="721">
        <v>28</v>
      </c>
      <c r="Q123" s="721"/>
      <c r="R123" s="721"/>
      <c r="S123" s="698"/>
      <c r="T123" s="698"/>
      <c r="U123" s="698"/>
      <c r="V123" s="698"/>
      <c r="W123" s="698"/>
      <c r="X123" s="698"/>
      <c r="Y123" s="698"/>
      <c r="Z123" s="698"/>
      <c r="AA123" s="698"/>
      <c r="AB123" s="698"/>
      <c r="AC123" s="698"/>
      <c r="AD123" s="698"/>
      <c r="AE123" s="698"/>
      <c r="AF123" s="698"/>
      <c r="AG123" s="698"/>
    </row>
    <row r="124" spans="1:33" hidden="1">
      <c r="A124" s="486" t="s">
        <v>294</v>
      </c>
      <c r="B124" s="624"/>
      <c r="G124" s="169"/>
      <c r="J124" s="721">
        <f>J121-J123</f>
        <v>-1538</v>
      </c>
      <c r="K124" s="721"/>
      <c r="L124" s="721"/>
      <c r="M124" s="721"/>
      <c r="N124" s="721"/>
      <c r="O124" s="721"/>
      <c r="P124" s="721"/>
      <c r="Q124" s="721"/>
      <c r="R124" s="721"/>
      <c r="S124" s="698"/>
      <c r="T124" s="698"/>
      <c r="U124" s="698"/>
      <c r="V124" s="698"/>
      <c r="W124" s="698"/>
      <c r="X124" s="698"/>
      <c r="Y124" s="698"/>
      <c r="Z124" s="698"/>
      <c r="AA124" s="698"/>
      <c r="AB124" s="698"/>
      <c r="AC124" s="698"/>
      <c r="AD124" s="698"/>
      <c r="AE124" s="698"/>
      <c r="AF124" s="698"/>
      <c r="AG124" s="698"/>
    </row>
    <row r="125" spans="1:33" hidden="1">
      <c r="A125" s="486"/>
      <c r="B125" s="624"/>
    </row>
    <row r="126" spans="1:33" ht="21.75" hidden="1" thickBot="1">
      <c r="A126" s="487"/>
      <c r="B126" s="624"/>
    </row>
    <row r="127" spans="1:33" hidden="1">
      <c r="A127" s="126" t="s">
        <v>39</v>
      </c>
      <c r="B127" s="126"/>
      <c r="C127" s="169">
        <f>G25</f>
        <v>0</v>
      </c>
      <c r="J127" s="421">
        <v>1436</v>
      </c>
    </row>
    <row r="128" spans="1:33" hidden="1">
      <c r="A128" s="126" t="s">
        <v>149</v>
      </c>
      <c r="B128" s="126"/>
      <c r="C128" s="169" t="e">
        <f>(G54+G93+G120)-C129</f>
        <v>#REF!</v>
      </c>
    </row>
    <row r="129" spans="1:10" hidden="1">
      <c r="A129" s="126" t="s">
        <v>41</v>
      </c>
      <c r="B129" s="126"/>
      <c r="C129" s="93" t="e">
        <f>#REF!</f>
        <v>#REF!</v>
      </c>
    </row>
    <row r="130" spans="1:10" hidden="1">
      <c r="A130" s="126" t="s">
        <v>152</v>
      </c>
      <c r="B130" s="126"/>
      <c r="C130" s="93">
        <v>0</v>
      </c>
      <c r="J130" s="421">
        <f>J121-67</f>
        <v>-67</v>
      </c>
    </row>
    <row r="131" spans="1:10" hidden="1">
      <c r="A131" s="126" t="s">
        <v>150</v>
      </c>
      <c r="B131" s="126"/>
      <c r="C131" s="93">
        <f>บัณฑิตศึกษา!F44</f>
        <v>0</v>
      </c>
    </row>
    <row r="132" spans="1:10" hidden="1">
      <c r="A132" s="126" t="s">
        <v>151</v>
      </c>
      <c r="B132" s="126"/>
      <c r="C132" s="93">
        <f>บัณฑิตศึกษา!F45</f>
        <v>0</v>
      </c>
    </row>
    <row r="133" spans="1:10" hidden="1">
      <c r="C133" s="169" t="e">
        <f>SUM(C127:C132)</f>
        <v>#REF!</v>
      </c>
    </row>
    <row r="134" spans="1:10" hidden="1">
      <c r="A134" s="261"/>
      <c r="B134" s="261"/>
      <c r="C134" s="261"/>
      <c r="D134" s="261"/>
    </row>
    <row r="135" spans="1:10" hidden="1"/>
    <row r="136" spans="1:10" hidden="1"/>
    <row r="137" spans="1:10" hidden="1">
      <c r="C137" s="93" t="s">
        <v>156</v>
      </c>
      <c r="D137" s="93" t="s">
        <v>155</v>
      </c>
    </row>
    <row r="138" spans="1:10" hidden="1">
      <c r="A138" s="126" t="s">
        <v>207</v>
      </c>
      <c r="B138" s="126"/>
    </row>
    <row r="139" spans="1:10" hidden="1">
      <c r="A139" s="126" t="s">
        <v>65</v>
      </c>
      <c r="B139" s="126"/>
    </row>
    <row r="140" spans="1:10" hidden="1">
      <c r="A140" s="126" t="s">
        <v>208</v>
      </c>
      <c r="B140" s="126"/>
      <c r="C140" s="169" t="e">
        <f>#REF!+#REF!+#REF!</f>
        <v>#REF!</v>
      </c>
      <c r="D140" s="169" t="e">
        <f>#REF!+#REF!</f>
        <v>#REF!</v>
      </c>
      <c r="E140" s="169" t="e">
        <f>SUM(C140:D140)</f>
        <v>#REF!</v>
      </c>
    </row>
    <row r="141" spans="1:10" hidden="1">
      <c r="A141" s="126" t="s">
        <v>209</v>
      </c>
      <c r="B141" s="126"/>
    </row>
    <row r="142" spans="1:10" hidden="1">
      <c r="A142" s="126" t="s">
        <v>134</v>
      </c>
      <c r="B142" s="126"/>
    </row>
    <row r="143" spans="1:10" hidden="1">
      <c r="A143" s="126" t="s">
        <v>3</v>
      </c>
      <c r="B143" s="126"/>
    </row>
    <row r="144" spans="1:10" hidden="1"/>
    <row r="145" hidden="1"/>
    <row r="146" hidden="1"/>
  </sheetData>
  <mergeCells count="8">
    <mergeCell ref="A123:D123"/>
    <mergeCell ref="A1:AG1"/>
    <mergeCell ref="A3:A5"/>
    <mergeCell ref="C3:I3"/>
    <mergeCell ref="J3:J4"/>
    <mergeCell ref="R3:R4"/>
    <mergeCell ref="S3:AG3"/>
    <mergeCell ref="P4:P5"/>
  </mergeCells>
  <printOptions horizontalCentered="1"/>
  <pageMargins left="0.31496062992125984" right="0.31496062992125984" top="0.78740157480314965" bottom="0.59055118110236227" header="0.55118110236220474" footer="0.31496062992125984"/>
  <pageSetup paperSize="9" scale="75" orientation="landscape" r:id="rId1"/>
  <headerFooter alignWithMargins="0">
    <oddFooter>หน้าที่ &amp;P จาก &amp;N</oddFooter>
  </headerFooter>
  <rowBreaks count="6" manualBreakCount="6">
    <brk id="25" max="44" man="1"/>
    <brk id="54" max="44" man="1"/>
    <brk id="63" max="44" man="1"/>
    <brk id="75" max="44" man="1"/>
    <brk id="93" max="44" man="1"/>
    <brk id="12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5"/>
  <sheetViews>
    <sheetView zoomScale="110" zoomScaleNormal="110" zoomScaleSheetLayoutView="130" workbookViewId="0">
      <pane ySplit="4" topLeftCell="A42" activePane="bottomLeft" state="frozen"/>
      <selection pane="bottomLeft" activeCell="M59" sqref="M59"/>
    </sheetView>
  </sheetViews>
  <sheetFormatPr defaultRowHeight="21" customHeight="1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2" width="10.85546875" style="112" hidden="1" customWidth="1"/>
    <col min="13" max="13" width="28.140625" style="179" customWidth="1"/>
    <col min="14" max="21" width="10.85546875" style="112" customWidth="1"/>
    <col min="22" max="16384" width="9.140625" style="93"/>
  </cols>
  <sheetData>
    <row r="1" spans="1:26" ht="21" customHeight="1">
      <c r="A1" s="787" t="s">
        <v>281</v>
      </c>
      <c r="B1" s="787"/>
      <c r="C1" s="787"/>
      <c r="D1" s="787"/>
      <c r="E1" s="787"/>
      <c r="F1" s="787"/>
      <c r="G1" s="787"/>
      <c r="H1" s="312"/>
      <c r="I1" s="312"/>
      <c r="J1" s="312"/>
      <c r="K1" s="312"/>
      <c r="L1" s="354"/>
      <c r="M1" s="171"/>
      <c r="N1" s="312"/>
      <c r="O1" s="312"/>
      <c r="P1" s="312"/>
      <c r="Q1" s="312"/>
      <c r="R1" s="312"/>
      <c r="S1" s="312"/>
      <c r="T1" s="312"/>
      <c r="U1" s="312"/>
    </row>
    <row r="2" spans="1:26" ht="21" customHeight="1">
      <c r="A2" s="794"/>
      <c r="B2" s="794"/>
      <c r="C2" s="794"/>
      <c r="D2" s="794"/>
      <c r="E2" s="794"/>
      <c r="F2" s="794"/>
      <c r="G2" s="794"/>
      <c r="H2" s="310"/>
      <c r="I2" s="310"/>
      <c r="J2" s="310"/>
      <c r="K2" s="310"/>
      <c r="L2" s="356"/>
      <c r="M2" s="793" t="s">
        <v>280</v>
      </c>
      <c r="N2" s="793"/>
      <c r="O2" s="793"/>
      <c r="P2" s="793"/>
      <c r="Q2" s="793"/>
      <c r="R2" s="793"/>
      <c r="S2" s="793"/>
      <c r="T2" s="310"/>
      <c r="U2" s="310"/>
    </row>
    <row r="3" spans="1:26" ht="21" customHeight="1">
      <c r="A3" s="788" t="s">
        <v>0</v>
      </c>
      <c r="B3" s="795" t="s">
        <v>131</v>
      </c>
      <c r="C3" s="796"/>
      <c r="D3" s="796"/>
      <c r="E3" s="796"/>
      <c r="F3" s="796"/>
      <c r="G3" s="797"/>
      <c r="H3" s="312"/>
      <c r="I3" s="312"/>
      <c r="J3" s="312"/>
      <c r="K3" s="312"/>
      <c r="L3" s="354"/>
      <c r="M3" s="171"/>
      <c r="N3" s="312"/>
      <c r="O3" s="312"/>
      <c r="P3" s="312"/>
      <c r="Q3" s="312"/>
      <c r="R3" s="312"/>
      <c r="S3" s="312"/>
      <c r="T3" s="312"/>
      <c r="U3" s="312"/>
    </row>
    <row r="4" spans="1:26" ht="21" customHeight="1">
      <c r="A4" s="789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157"/>
      <c r="M4" s="790" t="s">
        <v>201</v>
      </c>
      <c r="N4" s="792" t="s">
        <v>202</v>
      </c>
      <c r="O4" s="792"/>
      <c r="P4" s="792"/>
      <c r="Q4" s="792"/>
      <c r="R4" s="792"/>
      <c r="S4" s="785" t="s">
        <v>3</v>
      </c>
      <c r="T4" s="157"/>
      <c r="U4" s="157"/>
    </row>
    <row r="5" spans="1:26" ht="21" customHeight="1">
      <c r="A5" s="94" t="s">
        <v>5</v>
      </c>
      <c r="B5" s="113">
        <f t="shared" ref="B5:G5" si="0">SUM(B20,B23,B29)</f>
        <v>579</v>
      </c>
      <c r="C5" s="113">
        <f t="shared" si="0"/>
        <v>624</v>
      </c>
      <c r="D5" s="113">
        <f t="shared" si="0"/>
        <v>527</v>
      </c>
      <c r="E5" s="113">
        <f t="shared" si="0"/>
        <v>1166</v>
      </c>
      <c r="F5" s="113">
        <f t="shared" si="0"/>
        <v>67</v>
      </c>
      <c r="G5" s="113">
        <f t="shared" si="0"/>
        <v>2963</v>
      </c>
      <c r="H5" s="158"/>
      <c r="I5" s="158"/>
      <c r="J5" s="158"/>
      <c r="K5" s="158"/>
      <c r="L5" s="158"/>
      <c r="M5" s="791"/>
      <c r="N5" s="172" t="s">
        <v>203</v>
      </c>
      <c r="O5" s="311" t="s">
        <v>204</v>
      </c>
      <c r="P5" s="311" t="s">
        <v>205</v>
      </c>
      <c r="Q5" s="311" t="s">
        <v>51</v>
      </c>
      <c r="R5" s="311" t="s">
        <v>134</v>
      </c>
      <c r="S5" s="786"/>
      <c r="T5" s="158"/>
      <c r="U5" s="158"/>
      <c r="X5" s="117">
        <f>G5</f>
        <v>2963</v>
      </c>
    </row>
    <row r="6" spans="1:26" ht="21" customHeight="1">
      <c r="A6" s="432" t="s">
        <v>136</v>
      </c>
      <c r="B6" s="432">
        <v>52</v>
      </c>
      <c r="C6" s="433">
        <v>54</v>
      </c>
      <c r="D6" s="434">
        <v>55</v>
      </c>
      <c r="E6" s="434">
        <f>54+63</f>
        <v>117</v>
      </c>
      <c r="F6" s="434">
        <v>8</v>
      </c>
      <c r="G6" s="434">
        <f t="shared" ref="G6:G19" si="1">SUM(B6:F6)</f>
        <v>286</v>
      </c>
      <c r="H6" s="159"/>
      <c r="I6" s="159"/>
      <c r="J6" s="161">
        <f t="shared" ref="J6:J19" si="2">SUM(C6:F6)</f>
        <v>234</v>
      </c>
      <c r="K6" s="159"/>
      <c r="L6" s="159"/>
      <c r="M6" s="173" t="s">
        <v>200</v>
      </c>
      <c r="N6" s="174"/>
      <c r="O6" s="174"/>
      <c r="P6" s="174">
        <f>G20</f>
        <v>2933</v>
      </c>
      <c r="Q6" s="174"/>
      <c r="R6" s="174">
        <f>G29</f>
        <v>30</v>
      </c>
      <c r="S6" s="174">
        <f t="shared" ref="S6:S14" si="3">SUM(N6:R6)</f>
        <v>2963</v>
      </c>
      <c r="T6" s="159"/>
      <c r="U6" s="159"/>
      <c r="V6" s="169">
        <v>58</v>
      </c>
      <c r="W6" s="117">
        <v>122</v>
      </c>
      <c r="X6" s="117">
        <v>117</v>
      </c>
      <c r="Y6" s="117">
        <v>114</v>
      </c>
      <c r="Z6" s="117">
        <v>84</v>
      </c>
    </row>
    <row r="7" spans="1:26" ht="21" customHeight="1">
      <c r="A7" s="429" t="s">
        <v>6</v>
      </c>
      <c r="B7" s="429">
        <v>54</v>
      </c>
      <c r="C7" s="430">
        <v>47</v>
      </c>
      <c r="D7" s="431">
        <v>52</v>
      </c>
      <c r="E7" s="431">
        <v>116</v>
      </c>
      <c r="F7" s="431">
        <v>17</v>
      </c>
      <c r="G7" s="431">
        <f t="shared" si="1"/>
        <v>286</v>
      </c>
      <c r="H7" s="159"/>
      <c r="I7" s="159"/>
      <c r="J7" s="161">
        <f t="shared" si="2"/>
        <v>232</v>
      </c>
      <c r="K7" s="159"/>
      <c r="L7" s="159"/>
      <c r="M7" s="173" t="s">
        <v>206</v>
      </c>
      <c r="N7" s="174"/>
      <c r="O7" s="174">
        <f>G112</f>
        <v>1521</v>
      </c>
      <c r="P7" s="174"/>
      <c r="Q7" s="174"/>
      <c r="R7" s="174"/>
      <c r="S7" s="174">
        <f t="shared" si="3"/>
        <v>1521</v>
      </c>
      <c r="T7" s="159"/>
      <c r="U7" s="159"/>
      <c r="V7" s="169">
        <v>57</v>
      </c>
      <c r="W7" s="117">
        <v>128</v>
      </c>
      <c r="X7" s="117">
        <v>101</v>
      </c>
      <c r="Y7" s="117">
        <v>51</v>
      </c>
      <c r="Z7" s="117">
        <v>30</v>
      </c>
    </row>
    <row r="8" spans="1:26" ht="21" customHeight="1">
      <c r="A8" s="429" t="s">
        <v>7</v>
      </c>
      <c r="B8" s="429">
        <v>59</v>
      </c>
      <c r="C8" s="430">
        <v>59</v>
      </c>
      <c r="D8" s="431">
        <v>51</v>
      </c>
      <c r="E8" s="431">
        <f>55+59</f>
        <v>114</v>
      </c>
      <c r="F8" s="431"/>
      <c r="G8" s="431">
        <f t="shared" si="1"/>
        <v>283</v>
      </c>
      <c r="H8" s="159"/>
      <c r="I8" s="159"/>
      <c r="J8" s="161">
        <f t="shared" si="2"/>
        <v>224</v>
      </c>
      <c r="K8" s="159"/>
      <c r="L8" s="159"/>
      <c r="M8" s="173" t="s">
        <v>197</v>
      </c>
      <c r="N8" s="174">
        <f>G131</f>
        <v>252</v>
      </c>
      <c r="O8" s="174">
        <f>G125</f>
        <v>1753</v>
      </c>
      <c r="P8" s="174"/>
      <c r="Q8" s="174">
        <f>G135</f>
        <v>0</v>
      </c>
      <c r="R8" s="174"/>
      <c r="S8" s="174">
        <f t="shared" si="3"/>
        <v>2005</v>
      </c>
      <c r="T8" s="159"/>
      <c r="U8" s="159"/>
      <c r="V8" s="169">
        <v>58</v>
      </c>
      <c r="W8" s="117">
        <v>116</v>
      </c>
      <c r="X8" s="117">
        <v>111</v>
      </c>
      <c r="Y8" s="117">
        <v>99</v>
      </c>
      <c r="Z8" s="117">
        <v>41</v>
      </c>
    </row>
    <row r="9" spans="1:26" ht="21" customHeight="1">
      <c r="A9" s="429" t="s">
        <v>135</v>
      </c>
      <c r="B9" s="429">
        <v>60</v>
      </c>
      <c r="C9" s="430">
        <v>49</v>
      </c>
      <c r="D9" s="431">
        <v>38</v>
      </c>
      <c r="E9" s="431">
        <f>59+61</f>
        <v>120</v>
      </c>
      <c r="F9" s="431">
        <v>3</v>
      </c>
      <c r="G9" s="431">
        <f t="shared" si="1"/>
        <v>270</v>
      </c>
      <c r="H9" s="159"/>
      <c r="I9" s="159"/>
      <c r="J9" s="161">
        <f t="shared" si="2"/>
        <v>210</v>
      </c>
      <c r="K9" s="159"/>
      <c r="L9" s="159"/>
      <c r="M9" s="106" t="s">
        <v>3</v>
      </c>
      <c r="N9" s="106">
        <f>SUM(N6:N8)</f>
        <v>252</v>
      </c>
      <c r="O9" s="106">
        <f>SUM(O6:O8)</f>
        <v>3274</v>
      </c>
      <c r="P9" s="106">
        <f>SUM(P6:P8)</f>
        <v>2933</v>
      </c>
      <c r="Q9" s="106">
        <f>SUM(Q6:Q8)</f>
        <v>0</v>
      </c>
      <c r="R9" s="106">
        <f>SUM(R6:R8)</f>
        <v>30</v>
      </c>
      <c r="S9" s="106">
        <f t="shared" si="3"/>
        <v>6489</v>
      </c>
      <c r="T9" s="159"/>
      <c r="U9" s="159"/>
      <c r="V9" s="169">
        <v>52</v>
      </c>
      <c r="W9" s="117">
        <v>123</v>
      </c>
      <c r="X9" s="117">
        <v>94</v>
      </c>
      <c r="Y9" s="117">
        <v>98</v>
      </c>
      <c r="Z9" s="117">
        <v>82</v>
      </c>
    </row>
    <row r="10" spans="1:26" ht="21" customHeight="1">
      <c r="A10" s="429" t="s">
        <v>8</v>
      </c>
      <c r="B10" s="429">
        <v>53</v>
      </c>
      <c r="C10" s="430">
        <v>54</v>
      </c>
      <c r="D10" s="431">
        <v>46</v>
      </c>
      <c r="E10" s="431">
        <f>55+60</f>
        <v>115</v>
      </c>
      <c r="F10" s="431">
        <v>3</v>
      </c>
      <c r="G10" s="431">
        <f t="shared" si="1"/>
        <v>271</v>
      </c>
      <c r="H10" s="159"/>
      <c r="I10" s="159"/>
      <c r="J10" s="161">
        <f t="shared" si="2"/>
        <v>218</v>
      </c>
      <c r="K10" s="159"/>
      <c r="L10" s="159"/>
      <c r="M10" s="173" t="s">
        <v>199</v>
      </c>
      <c r="N10" s="174"/>
      <c r="O10" s="174">
        <f>G42</f>
        <v>1308</v>
      </c>
      <c r="P10" s="174"/>
      <c r="Q10" s="174">
        <f>G47</f>
        <v>15</v>
      </c>
      <c r="R10" s="174">
        <f>G50</f>
        <v>7</v>
      </c>
      <c r="S10" s="174">
        <f t="shared" si="3"/>
        <v>1330</v>
      </c>
      <c r="T10" s="159"/>
      <c r="U10" s="159"/>
      <c r="V10" s="169">
        <v>59</v>
      </c>
      <c r="W10" s="117">
        <v>120</v>
      </c>
      <c r="X10" s="117">
        <v>116</v>
      </c>
      <c r="Y10" s="117">
        <v>88</v>
      </c>
      <c r="Z10" s="117">
        <v>34</v>
      </c>
    </row>
    <row r="11" spans="1:26" ht="21" customHeight="1">
      <c r="A11" s="429" t="s">
        <v>9</v>
      </c>
      <c r="B11" s="429">
        <v>50</v>
      </c>
      <c r="C11" s="430">
        <v>42</v>
      </c>
      <c r="D11" s="431">
        <v>40</v>
      </c>
      <c r="E11" s="431">
        <f>59+55</f>
        <v>114</v>
      </c>
      <c r="F11" s="431">
        <v>3</v>
      </c>
      <c r="G11" s="431">
        <f t="shared" si="1"/>
        <v>249</v>
      </c>
      <c r="H11" s="159"/>
      <c r="I11" s="159"/>
      <c r="J11" s="161">
        <f t="shared" si="2"/>
        <v>199</v>
      </c>
      <c r="K11" s="159"/>
      <c r="L11" s="159"/>
      <c r="M11" s="173" t="s">
        <v>17</v>
      </c>
      <c r="N11" s="174"/>
      <c r="O11" s="174">
        <f>G79</f>
        <v>775</v>
      </c>
      <c r="P11" s="174"/>
      <c r="Q11" s="174"/>
      <c r="R11" s="174"/>
      <c r="S11" s="174">
        <f t="shared" si="3"/>
        <v>775</v>
      </c>
      <c r="T11" s="159"/>
      <c r="U11" s="159"/>
      <c r="V11" s="169">
        <v>51</v>
      </c>
      <c r="W11" s="117">
        <v>116</v>
      </c>
      <c r="X11" s="117">
        <v>102</v>
      </c>
      <c r="Y11" s="117">
        <v>65</v>
      </c>
      <c r="Z11" s="117">
        <v>54</v>
      </c>
    </row>
    <row r="12" spans="1:26" s="461" customFormat="1" ht="21" customHeight="1">
      <c r="A12" s="336" t="s">
        <v>238</v>
      </c>
      <c r="B12" s="438">
        <v>49</v>
      </c>
      <c r="C12" s="439">
        <v>43</v>
      </c>
      <c r="D12" s="431">
        <v>53</v>
      </c>
      <c r="E12" s="431">
        <v>41</v>
      </c>
      <c r="F12" s="252"/>
      <c r="G12" s="252">
        <f t="shared" si="1"/>
        <v>186</v>
      </c>
      <c r="H12" s="190"/>
      <c r="I12" s="190"/>
      <c r="J12" s="187">
        <f t="shared" si="2"/>
        <v>137</v>
      </c>
      <c r="K12" s="190"/>
      <c r="L12" s="190"/>
      <c r="M12" s="193" t="s">
        <v>198</v>
      </c>
      <c r="N12" s="194">
        <f>G74</f>
        <v>144</v>
      </c>
      <c r="O12" s="194">
        <f>G63</f>
        <v>723</v>
      </c>
      <c r="P12" s="194"/>
      <c r="Q12" s="194">
        <f>G78</f>
        <v>3</v>
      </c>
      <c r="R12" s="194"/>
      <c r="S12" s="194">
        <f t="shared" si="3"/>
        <v>870</v>
      </c>
      <c r="T12" s="190"/>
      <c r="U12" s="190"/>
      <c r="V12" s="473">
        <v>57</v>
      </c>
      <c r="W12" s="474">
        <v>43</v>
      </c>
      <c r="X12" s="474"/>
      <c r="Y12" s="474">
        <v>18</v>
      </c>
      <c r="Z12" s="474">
        <v>1</v>
      </c>
    </row>
    <row r="13" spans="1:26" ht="21" customHeight="1">
      <c r="A13" s="429" t="s">
        <v>56</v>
      </c>
      <c r="B13" s="429">
        <v>53</v>
      </c>
      <c r="C13" s="430">
        <v>47</v>
      </c>
      <c r="D13" s="431">
        <v>41</v>
      </c>
      <c r="E13" s="431">
        <f>54+50</f>
        <v>104</v>
      </c>
      <c r="F13" s="431">
        <v>6</v>
      </c>
      <c r="G13" s="431">
        <f t="shared" si="1"/>
        <v>251</v>
      </c>
      <c r="H13" s="159"/>
      <c r="I13" s="159"/>
      <c r="J13" s="161">
        <f t="shared" si="2"/>
        <v>198</v>
      </c>
      <c r="K13" s="159"/>
      <c r="L13" s="159"/>
      <c r="M13" s="182" t="s">
        <v>3</v>
      </c>
      <c r="N13" s="106">
        <f>SUM(N10:N12)</f>
        <v>144</v>
      </c>
      <c r="O13" s="106">
        <f>SUM(O10:O12)</f>
        <v>2806</v>
      </c>
      <c r="P13" s="106">
        <f>SUM(P10:P12)</f>
        <v>0</v>
      </c>
      <c r="Q13" s="106">
        <f>SUM(Q10:Q12)</f>
        <v>18</v>
      </c>
      <c r="R13" s="106">
        <f>SUM(R10:R12)</f>
        <v>7</v>
      </c>
      <c r="S13" s="174">
        <f t="shared" si="3"/>
        <v>2975</v>
      </c>
      <c r="T13" s="159"/>
      <c r="U13" s="159"/>
      <c r="V13" s="169">
        <v>54</v>
      </c>
      <c r="W13" s="117">
        <v>105</v>
      </c>
      <c r="X13" s="117">
        <v>108</v>
      </c>
      <c r="Y13" s="117">
        <v>100</v>
      </c>
      <c r="Z13" s="117">
        <v>64</v>
      </c>
    </row>
    <row r="14" spans="1:26" ht="21" customHeight="1">
      <c r="A14" s="429" t="s">
        <v>96</v>
      </c>
      <c r="B14" s="429">
        <v>50</v>
      </c>
      <c r="C14" s="430">
        <v>42</v>
      </c>
      <c r="D14" s="431">
        <v>40</v>
      </c>
      <c r="E14" s="431">
        <v>54</v>
      </c>
      <c r="F14" s="431">
        <v>10</v>
      </c>
      <c r="G14" s="431">
        <f t="shared" si="1"/>
        <v>196</v>
      </c>
      <c r="H14" s="159"/>
      <c r="I14" s="159"/>
      <c r="J14" s="161">
        <f t="shared" si="2"/>
        <v>146</v>
      </c>
      <c r="K14" s="159"/>
      <c r="L14" s="159"/>
      <c r="M14" s="182" t="s">
        <v>59</v>
      </c>
      <c r="N14" s="106">
        <f>SUM(N9,N13)</f>
        <v>396</v>
      </c>
      <c r="O14" s="106">
        <f>SUM(O9,O13)</f>
        <v>6080</v>
      </c>
      <c r="P14" s="106">
        <f>SUM(P9,P13)</f>
        <v>2933</v>
      </c>
      <c r="Q14" s="106">
        <f>SUM(Q9,Q13)</f>
        <v>18</v>
      </c>
      <c r="R14" s="106">
        <f>SUM(R9,R13)</f>
        <v>37</v>
      </c>
      <c r="S14" s="106">
        <f t="shared" si="3"/>
        <v>9464</v>
      </c>
      <c r="T14" s="159"/>
      <c r="U14" s="159"/>
      <c r="V14" s="169">
        <v>45</v>
      </c>
      <c r="W14" s="117">
        <v>58</v>
      </c>
      <c r="X14" s="117">
        <v>110</v>
      </c>
      <c r="Y14" s="117"/>
      <c r="Z14" s="117"/>
    </row>
    <row r="15" spans="1:26" ht="21" customHeight="1">
      <c r="A15" s="429" t="s">
        <v>119</v>
      </c>
      <c r="B15" s="429">
        <v>48</v>
      </c>
      <c r="C15" s="430">
        <v>38</v>
      </c>
      <c r="D15" s="431">
        <v>43</v>
      </c>
      <c r="E15" s="431">
        <v>92</v>
      </c>
      <c r="F15" s="431"/>
      <c r="G15" s="431">
        <f t="shared" si="1"/>
        <v>221</v>
      </c>
      <c r="H15" s="159"/>
      <c r="I15" s="159"/>
      <c r="J15" s="161">
        <f t="shared" si="2"/>
        <v>173</v>
      </c>
      <c r="K15" s="159"/>
      <c r="L15" s="159"/>
      <c r="M15" s="175"/>
      <c r="N15" s="782">
        <f>N14+O14+P14</f>
        <v>9409</v>
      </c>
      <c r="O15" s="783"/>
      <c r="P15" s="784"/>
      <c r="Q15" s="159"/>
      <c r="R15" s="159"/>
      <c r="S15" s="159"/>
      <c r="T15" s="159">
        <f>N14+O14+P14</f>
        <v>9409</v>
      </c>
      <c r="U15" s="159"/>
      <c r="V15" s="169">
        <v>48</v>
      </c>
      <c r="W15" s="117">
        <v>99</v>
      </c>
      <c r="X15" s="117"/>
      <c r="Y15" s="117"/>
      <c r="Z15" s="117"/>
    </row>
    <row r="16" spans="1:26" ht="21" customHeight="1">
      <c r="A16" s="429" t="s">
        <v>12</v>
      </c>
      <c r="B16" s="429"/>
      <c r="C16" s="430">
        <v>26</v>
      </c>
      <c r="D16" s="431"/>
      <c r="E16" s="431">
        <v>47</v>
      </c>
      <c r="F16" s="431"/>
      <c r="G16" s="431">
        <f t="shared" si="1"/>
        <v>73</v>
      </c>
      <c r="H16" s="159"/>
      <c r="I16" s="159"/>
      <c r="J16" s="161">
        <f t="shared" si="2"/>
        <v>73</v>
      </c>
      <c r="K16" s="159"/>
      <c r="L16" s="159"/>
      <c r="M16" s="793" t="s">
        <v>276</v>
      </c>
      <c r="N16" s="793"/>
      <c r="O16" s="793"/>
      <c r="P16" s="793"/>
      <c r="Q16" s="793"/>
      <c r="R16" s="793"/>
      <c r="S16" s="793"/>
      <c r="T16" s="159"/>
      <c r="U16" s="159"/>
      <c r="V16" s="169"/>
      <c r="W16" s="117">
        <v>50</v>
      </c>
      <c r="X16" s="117"/>
      <c r="Y16" s="117"/>
      <c r="Z16" s="117"/>
    </row>
    <row r="17" spans="1:27" ht="21" customHeight="1">
      <c r="A17" s="429" t="s">
        <v>13</v>
      </c>
      <c r="B17" s="429"/>
      <c r="C17" s="430">
        <v>39</v>
      </c>
      <c r="D17" s="431"/>
      <c r="E17" s="431">
        <v>46</v>
      </c>
      <c r="F17" s="431"/>
      <c r="G17" s="431">
        <f t="shared" si="1"/>
        <v>85</v>
      </c>
      <c r="H17" s="159"/>
      <c r="I17" s="159"/>
      <c r="J17" s="161">
        <f t="shared" si="2"/>
        <v>85</v>
      </c>
      <c r="K17" s="159"/>
      <c r="L17" s="159"/>
      <c r="M17" s="790" t="s">
        <v>201</v>
      </c>
      <c r="N17" s="792" t="s">
        <v>202</v>
      </c>
      <c r="O17" s="792"/>
      <c r="P17" s="792"/>
      <c r="Q17" s="792"/>
      <c r="R17" s="792"/>
      <c r="S17" s="785" t="s">
        <v>3</v>
      </c>
      <c r="T17" s="159"/>
      <c r="U17" s="159"/>
      <c r="V17" s="169"/>
      <c r="W17" s="117">
        <v>47</v>
      </c>
      <c r="X17" s="117"/>
      <c r="Y17" s="117"/>
      <c r="Z17" s="117"/>
    </row>
    <row r="18" spans="1:27" ht="21" customHeight="1">
      <c r="A18" s="429" t="s">
        <v>165</v>
      </c>
      <c r="B18" s="429">
        <v>46</v>
      </c>
      <c r="C18" s="430">
        <v>43</v>
      </c>
      <c r="D18" s="431">
        <v>31</v>
      </c>
      <c r="E18" s="431">
        <f>42+41</f>
        <v>83</v>
      </c>
      <c r="F18" s="431"/>
      <c r="G18" s="431">
        <f t="shared" si="1"/>
        <v>203</v>
      </c>
      <c r="H18" s="159"/>
      <c r="I18" s="159"/>
      <c r="J18" s="161">
        <f t="shared" si="2"/>
        <v>157</v>
      </c>
      <c r="K18" s="159"/>
      <c r="L18" s="159"/>
      <c r="M18" s="791"/>
      <c r="N18" s="172" t="s">
        <v>203</v>
      </c>
      <c r="O18" s="311" t="s">
        <v>204</v>
      </c>
      <c r="P18" s="311" t="s">
        <v>205</v>
      </c>
      <c r="Q18" s="311" t="s">
        <v>51</v>
      </c>
      <c r="R18" s="311" t="s">
        <v>134</v>
      </c>
      <c r="S18" s="786"/>
      <c r="T18" s="159"/>
      <c r="U18" s="159"/>
      <c r="V18" s="169">
        <v>39</v>
      </c>
      <c r="W18" s="117">
        <v>88</v>
      </c>
      <c r="X18" s="117"/>
      <c r="Y18" s="117"/>
      <c r="Z18" s="117"/>
    </row>
    <row r="19" spans="1:27" ht="21" customHeight="1">
      <c r="A19" s="472" t="s">
        <v>164</v>
      </c>
      <c r="B19" s="435"/>
      <c r="C19" s="436">
        <v>41</v>
      </c>
      <c r="D19" s="437">
        <v>32</v>
      </c>
      <c r="E19" s="437"/>
      <c r="F19" s="437"/>
      <c r="G19" s="437">
        <f t="shared" si="1"/>
        <v>73</v>
      </c>
      <c r="H19" s="159"/>
      <c r="I19" s="159"/>
      <c r="J19" s="161">
        <f t="shared" si="2"/>
        <v>73</v>
      </c>
      <c r="K19" s="159"/>
      <c r="L19" s="159"/>
      <c r="M19" s="173" t="s">
        <v>200</v>
      </c>
      <c r="N19" s="174"/>
      <c r="O19" s="174"/>
      <c r="P19" s="174">
        <f>B20</f>
        <v>574</v>
      </c>
      <c r="Q19" s="174"/>
      <c r="R19" s="174">
        <f>B29</f>
        <v>5</v>
      </c>
      <c r="S19" s="174">
        <f t="shared" ref="S19:S29" si="4">SUM(N19:R19)</f>
        <v>579</v>
      </c>
      <c r="T19" s="159"/>
      <c r="U19" s="159"/>
      <c r="V19" s="169">
        <v>34</v>
      </c>
      <c r="W19" s="117"/>
      <c r="X19" s="117"/>
      <c r="Y19" s="117"/>
      <c r="Z19" s="117"/>
    </row>
    <row r="20" spans="1:27" ht="21" customHeight="1">
      <c r="A20" s="95" t="s">
        <v>3</v>
      </c>
      <c r="B20" s="106">
        <f>SUM(B6:B19)</f>
        <v>574</v>
      </c>
      <c r="C20" s="106">
        <f t="shared" ref="C20:G20" si="5">SUM(C6:C19)</f>
        <v>624</v>
      </c>
      <c r="D20" s="106">
        <f t="shared" si="5"/>
        <v>522</v>
      </c>
      <c r="E20" s="106">
        <f t="shared" si="5"/>
        <v>1163</v>
      </c>
      <c r="F20" s="106">
        <f t="shared" si="5"/>
        <v>50</v>
      </c>
      <c r="G20" s="106">
        <f t="shared" si="5"/>
        <v>2933</v>
      </c>
      <c r="H20" s="160"/>
      <c r="I20" s="160"/>
      <c r="J20" s="160"/>
      <c r="K20" s="160">
        <f>615+836+1173+526+696</f>
        <v>3846</v>
      </c>
      <c r="L20" s="160">
        <f>1+6+17+43</f>
        <v>67</v>
      </c>
      <c r="M20" s="173" t="s">
        <v>206</v>
      </c>
      <c r="N20" s="174"/>
      <c r="O20" s="174">
        <f>B112</f>
        <v>557</v>
      </c>
      <c r="P20" s="174"/>
      <c r="Q20" s="174"/>
      <c r="R20" s="174"/>
      <c r="S20" s="174">
        <f t="shared" si="4"/>
        <v>557</v>
      </c>
      <c r="T20" s="160"/>
      <c r="U20" s="160"/>
      <c r="V20" s="255">
        <f>SUM(V6:V19)</f>
        <v>612</v>
      </c>
      <c r="W20" s="117">
        <f>SUM(W6:W19)</f>
        <v>1215</v>
      </c>
      <c r="X20" s="117">
        <f>SUM(X6:X19)</f>
        <v>859</v>
      </c>
      <c r="Y20" s="127">
        <f>SUM(Y6:Y19)</f>
        <v>633</v>
      </c>
      <c r="Z20" s="117">
        <f>SUM(Z6:Z19)</f>
        <v>390</v>
      </c>
      <c r="AA20" s="169"/>
    </row>
    <row r="21" spans="1:27" ht="21" hidden="1" customHeight="1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59"/>
      <c r="M21" s="173" t="s">
        <v>206</v>
      </c>
      <c r="N21" s="174"/>
      <c r="O21" s="174"/>
      <c r="P21" s="174"/>
      <c r="Q21" s="174"/>
      <c r="R21" s="174"/>
      <c r="S21" s="174">
        <f t="shared" si="4"/>
        <v>0</v>
      </c>
      <c r="T21" s="159"/>
      <c r="U21" s="159"/>
    </row>
    <row r="22" spans="1:27" ht="21" hidden="1" customHeight="1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59"/>
      <c r="M22" s="173" t="s">
        <v>200</v>
      </c>
      <c r="N22" s="174"/>
      <c r="O22" s="174"/>
      <c r="P22" s="174"/>
      <c r="Q22" s="174"/>
      <c r="R22" s="174"/>
      <c r="S22" s="174">
        <f t="shared" si="4"/>
        <v>0</v>
      </c>
      <c r="T22" s="159"/>
      <c r="U22" s="159"/>
    </row>
    <row r="23" spans="1:27" ht="21" hidden="1" customHeight="1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60"/>
      <c r="M23" s="173" t="s">
        <v>206</v>
      </c>
      <c r="N23" s="174"/>
      <c r="O23" s="174"/>
      <c r="P23" s="174"/>
      <c r="Q23" s="174"/>
      <c r="R23" s="174"/>
      <c r="S23" s="174">
        <f t="shared" si="4"/>
        <v>0</v>
      </c>
      <c r="T23" s="160"/>
      <c r="U23" s="160"/>
    </row>
    <row r="24" spans="1:27" ht="21" customHeight="1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59"/>
      <c r="M24" s="173" t="s">
        <v>197</v>
      </c>
      <c r="N24" s="174">
        <f>B131</f>
        <v>155</v>
      </c>
      <c r="O24" s="174">
        <f>B125</f>
        <v>665</v>
      </c>
      <c r="P24" s="174"/>
      <c r="Q24" s="174"/>
      <c r="R24" s="174"/>
      <c r="S24" s="174">
        <f t="shared" si="4"/>
        <v>820</v>
      </c>
      <c r="T24" s="159"/>
      <c r="U24" s="159"/>
    </row>
    <row r="25" spans="1:27" ht="21" customHeight="1">
      <c r="A25" s="96" t="s">
        <v>82</v>
      </c>
      <c r="B25" s="96"/>
      <c r="C25" s="122"/>
      <c r="D25" s="107"/>
      <c r="E25" s="468">
        <v>3</v>
      </c>
      <c r="F25" s="107"/>
      <c r="G25" s="252">
        <f>SUM(B25:F25)</f>
        <v>3</v>
      </c>
      <c r="H25" s="159"/>
      <c r="I25" s="159"/>
      <c r="J25" s="159"/>
      <c r="K25" s="159"/>
      <c r="L25" s="159"/>
      <c r="M25" s="106" t="s">
        <v>3</v>
      </c>
      <c r="N25" s="106">
        <f t="shared" ref="N25:R26" si="6">SUM(N19:N24)</f>
        <v>155</v>
      </c>
      <c r="O25" s="106">
        <f t="shared" si="6"/>
        <v>1222</v>
      </c>
      <c r="P25" s="106">
        <f t="shared" si="6"/>
        <v>574</v>
      </c>
      <c r="Q25" s="106">
        <f t="shared" si="6"/>
        <v>0</v>
      </c>
      <c r="R25" s="106">
        <f t="shared" si="6"/>
        <v>5</v>
      </c>
      <c r="S25" s="106">
        <f t="shared" si="4"/>
        <v>1956</v>
      </c>
      <c r="T25" s="159"/>
      <c r="U25" s="159"/>
      <c r="V25" s="169"/>
      <c r="W25" s="117">
        <v>6</v>
      </c>
      <c r="X25" s="117"/>
      <c r="Y25" s="117"/>
      <c r="Z25" s="117">
        <f>SUM(V25:Y25)</f>
        <v>6</v>
      </c>
      <c r="AA25" s="169"/>
    </row>
    <row r="26" spans="1:27" ht="21" customHeight="1">
      <c r="A26" s="96" t="s">
        <v>282</v>
      </c>
      <c r="B26" s="420">
        <v>5</v>
      </c>
      <c r="C26" s="122"/>
      <c r="D26" s="107"/>
      <c r="E26" s="107"/>
      <c r="F26" s="107"/>
      <c r="G26" s="252">
        <f>SUM(B26:F26)</f>
        <v>5</v>
      </c>
      <c r="H26" s="159"/>
      <c r="I26" s="159"/>
      <c r="J26" s="159"/>
      <c r="K26" s="159"/>
      <c r="L26" s="159"/>
      <c r="M26" s="106" t="s">
        <v>3</v>
      </c>
      <c r="N26" s="106">
        <f t="shared" si="6"/>
        <v>310</v>
      </c>
      <c r="O26" s="106">
        <f t="shared" si="6"/>
        <v>2444</v>
      </c>
      <c r="P26" s="106">
        <f t="shared" si="6"/>
        <v>574</v>
      </c>
      <c r="Q26" s="106">
        <f t="shared" si="6"/>
        <v>0</v>
      </c>
      <c r="R26" s="106">
        <f t="shared" si="6"/>
        <v>5</v>
      </c>
      <c r="S26" s="106">
        <f t="shared" ref="S26" si="7">SUM(N26:R26)</f>
        <v>3333</v>
      </c>
      <c r="T26" s="159"/>
      <c r="U26" s="159"/>
      <c r="V26" s="169"/>
      <c r="W26" s="117">
        <v>6</v>
      </c>
      <c r="X26" s="117"/>
      <c r="Y26" s="117"/>
      <c r="Z26" s="117">
        <f>SUM(V26:Y26)</f>
        <v>6</v>
      </c>
      <c r="AA26" s="169"/>
    </row>
    <row r="27" spans="1:27" ht="21" customHeight="1">
      <c r="A27" s="96" t="s">
        <v>97</v>
      </c>
      <c r="B27" s="96"/>
      <c r="C27" s="122"/>
      <c r="D27" s="468">
        <v>5</v>
      </c>
      <c r="E27" s="107"/>
      <c r="F27" s="468">
        <v>13</v>
      </c>
      <c r="G27" s="252">
        <f>SUM(B27:F27)</f>
        <v>18</v>
      </c>
      <c r="H27" s="159"/>
      <c r="I27" s="159"/>
      <c r="J27" s="159"/>
      <c r="K27" s="159"/>
      <c r="L27" s="159"/>
      <c r="M27" s="173" t="s">
        <v>199</v>
      </c>
      <c r="N27" s="174"/>
      <c r="O27" s="174">
        <f>B42</f>
        <v>492</v>
      </c>
      <c r="P27" s="174"/>
      <c r="Q27" s="174">
        <f>B47</f>
        <v>7</v>
      </c>
      <c r="R27" s="174">
        <f>B50</f>
        <v>4</v>
      </c>
      <c r="S27" s="174">
        <f t="shared" si="4"/>
        <v>503</v>
      </c>
      <c r="T27" s="159"/>
      <c r="U27" s="159"/>
      <c r="V27" s="169">
        <v>6</v>
      </c>
      <c r="W27" s="117"/>
      <c r="X27" s="117">
        <v>19</v>
      </c>
      <c r="Y27" s="117"/>
      <c r="Z27" s="117">
        <f>SUM(V27:Y27)</f>
        <v>25</v>
      </c>
      <c r="AA27" s="169"/>
    </row>
    <row r="28" spans="1:27" ht="21" customHeight="1">
      <c r="A28" s="96" t="s">
        <v>98</v>
      </c>
      <c r="B28" s="96"/>
      <c r="C28" s="122"/>
      <c r="D28" s="107"/>
      <c r="E28" s="107"/>
      <c r="F28" s="468">
        <v>4</v>
      </c>
      <c r="G28" s="107">
        <f>SUM(B28:F28)</f>
        <v>4</v>
      </c>
      <c r="H28" s="159"/>
      <c r="I28" s="159"/>
      <c r="J28" s="159"/>
      <c r="K28" s="159"/>
      <c r="L28" s="159"/>
      <c r="M28" s="173" t="s">
        <v>17</v>
      </c>
      <c r="N28" s="174"/>
      <c r="O28" s="174">
        <f>B79</f>
        <v>294</v>
      </c>
      <c r="P28" s="174"/>
      <c r="Q28" s="174"/>
      <c r="R28" s="174"/>
      <c r="S28" s="174">
        <f t="shared" si="4"/>
        <v>294</v>
      </c>
      <c r="T28" s="159"/>
      <c r="U28" s="159"/>
      <c r="V28" s="169"/>
      <c r="W28" s="117"/>
      <c r="X28" s="117">
        <v>9</v>
      </c>
      <c r="Y28" s="117"/>
      <c r="Z28" s="117">
        <f>SUM(V28:Y28)</f>
        <v>9</v>
      </c>
      <c r="AA28" s="169"/>
    </row>
    <row r="29" spans="1:27" ht="21" customHeight="1">
      <c r="A29" s="95" t="s">
        <v>3</v>
      </c>
      <c r="B29" s="106">
        <f t="shared" ref="B29:G29" si="8">SUM(B25:B28)</f>
        <v>5</v>
      </c>
      <c r="C29" s="106">
        <f t="shared" si="8"/>
        <v>0</v>
      </c>
      <c r="D29" s="106">
        <f t="shared" si="8"/>
        <v>5</v>
      </c>
      <c r="E29" s="106">
        <f t="shared" si="8"/>
        <v>3</v>
      </c>
      <c r="F29" s="106">
        <f t="shared" si="8"/>
        <v>17</v>
      </c>
      <c r="G29" s="106">
        <f t="shared" si="8"/>
        <v>30</v>
      </c>
      <c r="H29" s="160"/>
      <c r="I29" s="160"/>
      <c r="J29" s="160"/>
      <c r="K29" s="160"/>
      <c r="L29" s="160"/>
      <c r="M29" s="173" t="s">
        <v>198</v>
      </c>
      <c r="N29" s="174">
        <f>B74</f>
        <v>77</v>
      </c>
      <c r="O29" s="174">
        <f>B63</f>
        <v>245</v>
      </c>
      <c r="P29" s="174"/>
      <c r="Q29" s="174"/>
      <c r="R29" s="174"/>
      <c r="S29" s="174">
        <f t="shared" si="4"/>
        <v>322</v>
      </c>
      <c r="T29" s="160"/>
      <c r="U29" s="160"/>
      <c r="V29" s="169">
        <f>SUM(V25:V28)</f>
        <v>6</v>
      </c>
      <c r="W29" s="117">
        <f>SUM(W25:W28)</f>
        <v>12</v>
      </c>
      <c r="X29" s="117">
        <f>SUM(X25:X28)</f>
        <v>28</v>
      </c>
      <c r="Z29" s="169">
        <f>SUM(V29:Y29)</f>
        <v>46</v>
      </c>
      <c r="AA29" s="169"/>
    </row>
    <row r="30" spans="1:27" ht="21" customHeight="1">
      <c r="A30" s="98" t="s">
        <v>11</v>
      </c>
      <c r="B30" s="106">
        <f>SUM(B42,B50,B47)</f>
        <v>503</v>
      </c>
      <c r="C30" s="106">
        <f t="shared" ref="C30:F30" si="9">SUM(C42,C50,C47)</f>
        <v>379</v>
      </c>
      <c r="D30" s="106">
        <f t="shared" si="9"/>
        <v>311</v>
      </c>
      <c r="E30" s="106">
        <f t="shared" si="9"/>
        <v>115</v>
      </c>
      <c r="F30" s="106">
        <f t="shared" si="9"/>
        <v>22</v>
      </c>
      <c r="G30" s="106">
        <f>SUM(G42,G50,G47)</f>
        <v>1330</v>
      </c>
      <c r="H30" s="160">
        <f>1708-20</f>
        <v>1688</v>
      </c>
      <c r="I30" s="160"/>
      <c r="J30" s="160"/>
      <c r="K30" s="160"/>
      <c r="L30" s="160"/>
      <c r="M30" s="182" t="s">
        <v>3</v>
      </c>
      <c r="N30" s="106">
        <f t="shared" ref="N30:S30" si="10">SUM(N27:N29)</f>
        <v>77</v>
      </c>
      <c r="O30" s="106">
        <f t="shared" si="10"/>
        <v>1031</v>
      </c>
      <c r="P30" s="106">
        <f t="shared" si="10"/>
        <v>0</v>
      </c>
      <c r="Q30" s="106">
        <f t="shared" si="10"/>
        <v>7</v>
      </c>
      <c r="R30" s="106">
        <f t="shared" si="10"/>
        <v>4</v>
      </c>
      <c r="S30" s="106">
        <f t="shared" si="10"/>
        <v>1119</v>
      </c>
      <c r="T30" s="160"/>
      <c r="U30" s="160"/>
      <c r="X30" s="117">
        <f>G30</f>
        <v>1330</v>
      </c>
      <c r="Y30" s="117">
        <f>G51</f>
        <v>870</v>
      </c>
      <c r="Z30" s="117">
        <f>G79</f>
        <v>775</v>
      </c>
      <c r="AA30" s="117"/>
    </row>
    <row r="31" spans="1:27" ht="21" customHeight="1">
      <c r="A31" s="426" t="s">
        <v>138</v>
      </c>
      <c r="B31" s="426">
        <f>47+41</f>
        <v>88</v>
      </c>
      <c r="C31" s="427">
        <f>35+31</f>
        <v>66</v>
      </c>
      <c r="D31" s="428">
        <f>33+28</f>
        <v>61</v>
      </c>
      <c r="E31" s="428">
        <v>59</v>
      </c>
      <c r="F31" s="428">
        <v>11</v>
      </c>
      <c r="G31" s="428">
        <f t="shared" ref="G31:G41" si="11">SUM(B31:F31)</f>
        <v>285</v>
      </c>
      <c r="H31" s="161"/>
      <c r="I31" s="161">
        <v>1</v>
      </c>
      <c r="J31" s="161">
        <f t="shared" ref="J31:J41" si="12">SUM(C31:F31)</f>
        <v>197</v>
      </c>
      <c r="K31" s="161"/>
      <c r="L31" s="161"/>
      <c r="M31" s="182" t="s">
        <v>59</v>
      </c>
      <c r="N31" s="106">
        <f t="shared" ref="N31:S31" si="13">SUM(N25,N30)</f>
        <v>232</v>
      </c>
      <c r="O31" s="106">
        <f t="shared" si="13"/>
        <v>2253</v>
      </c>
      <c r="P31" s="106">
        <f t="shared" si="13"/>
        <v>574</v>
      </c>
      <c r="Q31" s="106">
        <f t="shared" si="13"/>
        <v>7</v>
      </c>
      <c r="R31" s="106">
        <f t="shared" si="13"/>
        <v>9</v>
      </c>
      <c r="S31" s="106">
        <f t="shared" si="13"/>
        <v>3075</v>
      </c>
      <c r="T31" s="161"/>
      <c r="U31" s="161"/>
      <c r="V31" s="169">
        <v>93</v>
      </c>
      <c r="W31" s="117">
        <v>69</v>
      </c>
      <c r="X31" s="117">
        <v>72</v>
      </c>
      <c r="Y31" s="117">
        <v>70</v>
      </c>
      <c r="Z31" s="117">
        <v>51</v>
      </c>
    </row>
    <row r="32" spans="1:27" ht="21" customHeight="1">
      <c r="A32" s="422" t="s">
        <v>91</v>
      </c>
      <c r="B32" s="422">
        <f>48+42</f>
        <v>90</v>
      </c>
      <c r="C32" s="423">
        <v>78</v>
      </c>
      <c r="D32" s="424">
        <v>56</v>
      </c>
      <c r="E32" s="424">
        <v>20</v>
      </c>
      <c r="F32" s="424">
        <v>3</v>
      </c>
      <c r="G32" s="424">
        <f t="shared" si="11"/>
        <v>247</v>
      </c>
      <c r="H32" s="161"/>
      <c r="I32" s="161">
        <v>2</v>
      </c>
      <c r="J32" s="161">
        <f t="shared" si="12"/>
        <v>157</v>
      </c>
      <c r="K32" s="161"/>
      <c r="L32" s="161"/>
      <c r="M32" s="175"/>
      <c r="N32" s="159"/>
      <c r="O32" s="159"/>
      <c r="P32" s="159"/>
      <c r="Q32" s="159"/>
      <c r="R32" s="159"/>
      <c r="S32" s="159"/>
      <c r="T32" s="161"/>
      <c r="U32" s="161"/>
      <c r="V32" s="169">
        <v>88</v>
      </c>
      <c r="W32" s="117">
        <v>69</v>
      </c>
      <c r="X32" s="117">
        <v>61</v>
      </c>
      <c r="Y32" s="117">
        <v>37</v>
      </c>
      <c r="Z32" s="117">
        <v>24</v>
      </c>
    </row>
    <row r="33" spans="1:28" ht="21" customHeight="1">
      <c r="A33" s="422" t="s">
        <v>77</v>
      </c>
      <c r="B33" s="422"/>
      <c r="C33" s="425"/>
      <c r="D33" s="424"/>
      <c r="E33" s="424">
        <v>3</v>
      </c>
      <c r="F33" s="424">
        <v>1</v>
      </c>
      <c r="G33" s="424">
        <f t="shared" si="11"/>
        <v>4</v>
      </c>
      <c r="H33" s="161"/>
      <c r="I33" s="161">
        <v>3</v>
      </c>
      <c r="J33" s="161">
        <f t="shared" si="12"/>
        <v>4</v>
      </c>
      <c r="K33" s="161"/>
      <c r="L33" s="161"/>
      <c r="M33" s="189" t="s">
        <v>284</v>
      </c>
      <c r="N33" s="159"/>
      <c r="O33" s="159"/>
      <c r="P33" s="159"/>
      <c r="Q33" s="159"/>
      <c r="R33" s="159"/>
      <c r="S33" s="159"/>
      <c r="T33" s="161"/>
      <c r="U33" s="161"/>
      <c r="V33" s="169"/>
      <c r="W33" s="117">
        <v>42</v>
      </c>
      <c r="X33" s="117">
        <v>61</v>
      </c>
      <c r="Y33" s="117">
        <v>31</v>
      </c>
      <c r="Z33" s="117">
        <v>6</v>
      </c>
    </row>
    <row r="34" spans="1:28" ht="21" customHeight="1">
      <c r="A34" s="422" t="s">
        <v>9</v>
      </c>
      <c r="B34" s="422">
        <v>35</v>
      </c>
      <c r="C34" s="423">
        <v>35</v>
      </c>
      <c r="D34" s="424">
        <v>33</v>
      </c>
      <c r="E34" s="424"/>
      <c r="F34" s="424"/>
      <c r="G34" s="424">
        <f t="shared" si="11"/>
        <v>103</v>
      </c>
      <c r="H34" s="161"/>
      <c r="I34" s="161">
        <v>4</v>
      </c>
      <c r="J34" s="161">
        <f t="shared" si="12"/>
        <v>68</v>
      </c>
      <c r="K34" s="161"/>
      <c r="L34" s="161"/>
      <c r="M34" s="177"/>
      <c r="N34" s="161"/>
      <c r="O34" s="161"/>
      <c r="P34" s="161"/>
      <c r="Q34" s="161"/>
      <c r="R34" s="161"/>
      <c r="S34" s="161"/>
      <c r="T34" s="161"/>
      <c r="U34" s="161"/>
      <c r="V34" s="169">
        <v>36</v>
      </c>
      <c r="W34" s="117"/>
      <c r="X34" s="117"/>
      <c r="Y34" s="117"/>
      <c r="Z34" s="117">
        <v>1</v>
      </c>
    </row>
    <row r="35" spans="1:28" ht="21" customHeight="1">
      <c r="A35" s="422" t="s">
        <v>12</v>
      </c>
      <c r="B35" s="422">
        <f>26+31</f>
        <v>57</v>
      </c>
      <c r="C35" s="423">
        <v>21</v>
      </c>
      <c r="D35" s="424">
        <v>15</v>
      </c>
      <c r="E35" s="424">
        <v>20</v>
      </c>
      <c r="F35" s="424">
        <v>3</v>
      </c>
      <c r="G35" s="424">
        <f t="shared" si="11"/>
        <v>116</v>
      </c>
      <c r="H35" s="161"/>
      <c r="I35" s="161">
        <v>5</v>
      </c>
      <c r="J35" s="161">
        <f t="shared" si="12"/>
        <v>59</v>
      </c>
      <c r="K35" s="161"/>
      <c r="L35" s="161"/>
      <c r="M35" s="177"/>
      <c r="N35" s="161"/>
      <c r="O35" s="161"/>
      <c r="P35" s="161"/>
      <c r="Q35" s="161"/>
      <c r="R35" s="161"/>
      <c r="S35" s="161"/>
      <c r="T35" s="161"/>
      <c r="U35" s="161"/>
      <c r="V35" s="169">
        <v>27</v>
      </c>
      <c r="W35" s="117">
        <v>23</v>
      </c>
      <c r="X35" s="117">
        <v>45</v>
      </c>
      <c r="Y35" s="117">
        <v>38</v>
      </c>
      <c r="Z35" s="117">
        <v>10</v>
      </c>
    </row>
    <row r="36" spans="1:28" ht="21" customHeight="1">
      <c r="A36" s="422" t="s">
        <v>13</v>
      </c>
      <c r="B36" s="422">
        <v>40</v>
      </c>
      <c r="C36" s="423">
        <v>27</v>
      </c>
      <c r="D36" s="424">
        <v>26</v>
      </c>
      <c r="E36" s="424">
        <v>5</v>
      </c>
      <c r="F36" s="424">
        <v>1</v>
      </c>
      <c r="G36" s="424">
        <f t="shared" si="11"/>
        <v>99</v>
      </c>
      <c r="H36" s="161"/>
      <c r="I36" s="161">
        <v>6</v>
      </c>
      <c r="J36" s="161">
        <f t="shared" si="12"/>
        <v>59</v>
      </c>
      <c r="K36" s="161"/>
      <c r="L36" s="161"/>
      <c r="M36" s="177"/>
      <c r="N36" s="161"/>
      <c r="O36" s="161"/>
      <c r="P36" s="161"/>
      <c r="Q36" s="161"/>
      <c r="R36" s="161"/>
      <c r="S36" s="161"/>
      <c r="T36" s="161"/>
      <c r="U36" s="161"/>
      <c r="V36" s="169">
        <v>43</v>
      </c>
      <c r="W36" s="117">
        <v>27</v>
      </c>
      <c r="X36" s="117">
        <v>37</v>
      </c>
      <c r="Y36" s="117">
        <v>36</v>
      </c>
      <c r="Z36" s="117"/>
    </row>
    <row r="37" spans="1:28" ht="21" hidden="1" customHeight="1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61"/>
      <c r="M37" s="177"/>
      <c r="N37" s="161"/>
      <c r="O37" s="161"/>
      <c r="P37" s="161"/>
      <c r="Q37" s="161"/>
      <c r="R37" s="161"/>
      <c r="S37" s="161"/>
      <c r="T37" s="161"/>
      <c r="U37" s="161"/>
      <c r="V37" s="169"/>
      <c r="W37" s="117"/>
      <c r="X37" s="117"/>
      <c r="Y37" s="117"/>
      <c r="Z37" s="117"/>
    </row>
    <row r="38" spans="1:28" ht="21" customHeight="1">
      <c r="A38" s="422" t="s">
        <v>116</v>
      </c>
      <c r="B38" s="422">
        <v>45</v>
      </c>
      <c r="C38" s="423">
        <v>41</v>
      </c>
      <c r="D38" s="424">
        <v>29</v>
      </c>
      <c r="E38" s="424">
        <v>4</v>
      </c>
      <c r="F38" s="424">
        <v>1</v>
      </c>
      <c r="G38" s="424">
        <f t="shared" si="11"/>
        <v>120</v>
      </c>
      <c r="H38" s="161"/>
      <c r="I38" s="161">
        <v>7</v>
      </c>
      <c r="J38" s="161">
        <f t="shared" si="12"/>
        <v>75</v>
      </c>
      <c r="K38" s="161"/>
      <c r="L38" s="161"/>
      <c r="M38" s="177"/>
      <c r="N38" s="161"/>
      <c r="O38" s="161"/>
      <c r="P38" s="161"/>
      <c r="Q38" s="161"/>
      <c r="R38" s="161"/>
      <c r="S38" s="161"/>
      <c r="T38" s="161"/>
      <c r="U38" s="161"/>
      <c r="V38" s="169">
        <v>53</v>
      </c>
      <c r="W38" s="117">
        <v>37</v>
      </c>
      <c r="X38" s="117">
        <v>100</v>
      </c>
      <c r="Y38" s="117">
        <v>46</v>
      </c>
      <c r="Z38" s="117">
        <v>12</v>
      </c>
    </row>
    <row r="39" spans="1:28" ht="21" customHeight="1">
      <c r="A39" s="426" t="s">
        <v>167</v>
      </c>
      <c r="B39" s="426"/>
      <c r="C39" s="427"/>
      <c r="D39" s="428"/>
      <c r="E39" s="428">
        <v>1</v>
      </c>
      <c r="F39" s="428">
        <v>2</v>
      </c>
      <c r="G39" s="424">
        <f t="shared" si="11"/>
        <v>3</v>
      </c>
      <c r="H39" s="161"/>
      <c r="I39" s="161">
        <v>8</v>
      </c>
      <c r="J39" s="161">
        <f t="shared" si="12"/>
        <v>3</v>
      </c>
      <c r="K39" s="161"/>
      <c r="L39" s="161"/>
      <c r="M39" s="177"/>
      <c r="N39" s="161"/>
      <c r="O39" s="161"/>
      <c r="P39" s="161"/>
      <c r="Q39" s="161"/>
      <c r="R39" s="161"/>
      <c r="S39" s="161"/>
      <c r="T39" s="161"/>
      <c r="U39" s="161"/>
      <c r="V39" s="169"/>
      <c r="W39" s="117">
        <v>74</v>
      </c>
      <c r="X39" s="117">
        <v>92</v>
      </c>
      <c r="Y39" s="117">
        <v>59</v>
      </c>
      <c r="Z39" s="117">
        <v>4</v>
      </c>
    </row>
    <row r="40" spans="1:28" ht="21" customHeight="1">
      <c r="A40" s="426" t="s">
        <v>166</v>
      </c>
      <c r="B40" s="426">
        <v>84</v>
      </c>
      <c r="C40" s="427">
        <v>80</v>
      </c>
      <c r="D40" s="428">
        <v>56</v>
      </c>
      <c r="E40" s="428"/>
      <c r="F40" s="428"/>
      <c r="G40" s="424">
        <f t="shared" si="11"/>
        <v>220</v>
      </c>
      <c r="H40" s="161"/>
      <c r="I40" s="161">
        <v>9</v>
      </c>
      <c r="J40" s="161">
        <f t="shared" si="12"/>
        <v>136</v>
      </c>
      <c r="K40" s="161"/>
      <c r="L40" s="161"/>
      <c r="M40" s="177"/>
      <c r="N40" s="161"/>
      <c r="O40" s="161"/>
      <c r="P40" s="161"/>
      <c r="Q40" s="161"/>
      <c r="R40" s="161"/>
      <c r="S40" s="161"/>
      <c r="T40" s="161"/>
      <c r="U40" s="161"/>
      <c r="V40" s="169">
        <v>80</v>
      </c>
      <c r="W40" s="117"/>
      <c r="X40" s="117"/>
      <c r="Y40" s="117"/>
      <c r="Z40" s="117"/>
    </row>
    <row r="41" spans="1:28" ht="21" customHeight="1">
      <c r="A41" s="426" t="s">
        <v>137</v>
      </c>
      <c r="B41" s="426">
        <v>53</v>
      </c>
      <c r="C41" s="427">
        <v>31</v>
      </c>
      <c r="D41" s="428">
        <v>27</v>
      </c>
      <c r="E41" s="428"/>
      <c r="F41" s="428"/>
      <c r="G41" s="428">
        <f t="shared" si="11"/>
        <v>111</v>
      </c>
      <c r="H41" s="161"/>
      <c r="I41" s="161">
        <v>10</v>
      </c>
      <c r="J41" s="161">
        <f t="shared" si="12"/>
        <v>58</v>
      </c>
      <c r="K41" s="161"/>
      <c r="L41" s="161"/>
      <c r="M41" s="177"/>
      <c r="N41" s="161"/>
      <c r="O41" s="161"/>
      <c r="P41" s="161"/>
      <c r="Q41" s="161"/>
      <c r="R41" s="161"/>
      <c r="S41" s="161"/>
      <c r="T41" s="161"/>
      <c r="U41" s="161"/>
      <c r="V41" s="169">
        <v>32</v>
      </c>
      <c r="W41" s="117"/>
      <c r="X41" s="117"/>
      <c r="Y41" s="117"/>
      <c r="Z41" s="117">
        <v>2</v>
      </c>
    </row>
    <row r="42" spans="1:28" ht="21" customHeight="1">
      <c r="A42" s="95" t="s">
        <v>3</v>
      </c>
      <c r="B42" s="106">
        <f t="shared" ref="B42:F42" si="14">SUM(B31:B41)</f>
        <v>492</v>
      </c>
      <c r="C42" s="106">
        <f t="shared" si="14"/>
        <v>379</v>
      </c>
      <c r="D42" s="106">
        <f t="shared" si="14"/>
        <v>303</v>
      </c>
      <c r="E42" s="106">
        <f t="shared" si="14"/>
        <v>112</v>
      </c>
      <c r="F42" s="106">
        <f t="shared" si="14"/>
        <v>22</v>
      </c>
      <c r="G42" s="106">
        <f>SUM(G31:G41)</f>
        <v>1308</v>
      </c>
      <c r="H42" s="160"/>
      <c r="I42" s="160"/>
      <c r="J42" s="160"/>
      <c r="K42" s="160"/>
      <c r="L42" s="160">
        <f>1+6+17+43</f>
        <v>67</v>
      </c>
      <c r="M42" s="176"/>
      <c r="N42" s="160"/>
      <c r="O42" s="160"/>
      <c r="P42" s="160"/>
      <c r="Q42" s="160"/>
      <c r="R42" s="160"/>
      <c r="S42" s="160"/>
      <c r="T42" s="160"/>
      <c r="U42" s="160"/>
      <c r="V42" s="169">
        <f>SUM(V31:V41)</f>
        <v>452</v>
      </c>
      <c r="W42" s="117">
        <f>SUM(W31:W41)</f>
        <v>341</v>
      </c>
      <c r="X42" s="117">
        <f>SUM(X31:X41)</f>
        <v>468</v>
      </c>
      <c r="Y42" s="117">
        <f>SUM(Y31:Y41)</f>
        <v>317</v>
      </c>
      <c r="Z42" s="117">
        <f>SUM(Z31:Z41)</f>
        <v>110</v>
      </c>
      <c r="AA42" s="117"/>
      <c r="AB42" s="117"/>
    </row>
    <row r="43" spans="1:28" ht="21" customHeight="1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59"/>
      <c r="M43" s="175"/>
      <c r="N43" s="159"/>
      <c r="O43" s="159"/>
      <c r="P43" s="159"/>
      <c r="Q43" s="159"/>
      <c r="R43" s="159"/>
      <c r="S43" s="159"/>
      <c r="T43" s="159"/>
      <c r="U43" s="159"/>
    </row>
    <row r="44" spans="1:28" ht="21" customHeight="1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59"/>
      <c r="M44" s="175"/>
      <c r="N44" s="159"/>
      <c r="O44" s="159"/>
      <c r="P44" s="159"/>
      <c r="Q44" s="159"/>
      <c r="R44" s="159"/>
      <c r="S44" s="159"/>
      <c r="T44" s="159"/>
      <c r="U44" s="159"/>
      <c r="V44" s="169"/>
      <c r="W44" s="117"/>
      <c r="X44" s="117"/>
      <c r="Y44" s="117">
        <v>3</v>
      </c>
      <c r="Z44" s="117"/>
    </row>
    <row r="45" spans="1:28" ht="21" customHeight="1">
      <c r="A45" s="96" t="s">
        <v>13</v>
      </c>
      <c r="B45" s="420">
        <v>6</v>
      </c>
      <c r="C45" s="122"/>
      <c r="D45" s="468">
        <v>6</v>
      </c>
      <c r="E45" s="107"/>
      <c r="F45" s="107"/>
      <c r="G45" s="107">
        <f>SUM(B45:F45)</f>
        <v>12</v>
      </c>
      <c r="H45" s="257" t="s">
        <v>196</v>
      </c>
      <c r="I45" s="258"/>
      <c r="J45" s="258"/>
      <c r="K45" s="258"/>
      <c r="L45" s="258"/>
      <c r="M45" s="183"/>
      <c r="N45" s="184"/>
      <c r="O45" s="184"/>
      <c r="P45" s="184"/>
      <c r="Q45" s="184"/>
      <c r="R45" s="184"/>
      <c r="S45" s="184"/>
      <c r="T45" s="258"/>
      <c r="U45" s="258"/>
      <c r="V45" s="169">
        <v>6</v>
      </c>
      <c r="W45" s="117"/>
      <c r="X45" s="117">
        <v>3</v>
      </c>
      <c r="Y45" s="117"/>
      <c r="Z45" s="117"/>
    </row>
    <row r="46" spans="1:28" ht="21" customHeight="1">
      <c r="A46" s="96" t="s">
        <v>174</v>
      </c>
      <c r="B46" s="420">
        <v>1</v>
      </c>
      <c r="C46" s="122"/>
      <c r="D46" s="468">
        <v>2</v>
      </c>
      <c r="E46" s="107"/>
      <c r="F46" s="107"/>
      <c r="G46" s="107">
        <f>SUM(B46:F46)</f>
        <v>3</v>
      </c>
      <c r="H46" s="257" t="s">
        <v>196</v>
      </c>
      <c r="I46" s="258"/>
      <c r="J46" s="258"/>
      <c r="K46" s="258"/>
      <c r="L46" s="258"/>
      <c r="M46" s="183"/>
      <c r="N46" s="184"/>
      <c r="O46" s="184"/>
      <c r="P46" s="184"/>
      <c r="Q46" s="184"/>
      <c r="R46" s="184"/>
      <c r="S46" s="184"/>
      <c r="T46" s="258"/>
      <c r="U46" s="258"/>
      <c r="V46" s="169">
        <v>2</v>
      </c>
      <c r="W46" s="117"/>
      <c r="X46" s="117">
        <v>3</v>
      </c>
      <c r="Y46" s="117"/>
      <c r="Z46" s="117"/>
    </row>
    <row r="47" spans="1:28" ht="21" customHeight="1">
      <c r="A47" s="95" t="s">
        <v>3</v>
      </c>
      <c r="B47" s="106">
        <f t="shared" ref="B47:G47" si="15">SUM(B44:B46)</f>
        <v>7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15</v>
      </c>
      <c r="H47" s="160"/>
      <c r="I47" s="160"/>
      <c r="J47" s="160"/>
      <c r="K47" s="160"/>
      <c r="L47" s="160"/>
      <c r="M47" s="176"/>
      <c r="N47" s="109">
        <v>21</v>
      </c>
      <c r="O47" s="109">
        <v>33</v>
      </c>
      <c r="P47" s="109">
        <f>4+2+1</f>
        <v>7</v>
      </c>
      <c r="Q47" s="160">
        <f>SUM(N47:P47)</f>
        <v>61</v>
      </c>
      <c r="R47" s="160"/>
      <c r="S47" s="160"/>
      <c r="T47" s="160"/>
      <c r="U47" s="160"/>
      <c r="V47" s="169">
        <f>SUM(V44:V46)</f>
        <v>8</v>
      </c>
      <c r="X47" s="117">
        <f>SUM(X44:X46)</f>
        <v>6</v>
      </c>
      <c r="Y47" s="117">
        <f>SUM(Y44:Y46)</f>
        <v>3</v>
      </c>
      <c r="AA47" s="169"/>
    </row>
    <row r="48" spans="1:28" ht="21" customHeight="1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59"/>
      <c r="M48" s="175"/>
      <c r="N48" s="109">
        <v>19</v>
      </c>
      <c r="O48" s="109">
        <v>20</v>
      </c>
      <c r="P48" s="109">
        <f>4+3+1</f>
        <v>8</v>
      </c>
      <c r="Q48" s="160">
        <f t="shared" ref="Q48:Q52" si="16">SUM(N48:P48)</f>
        <v>47</v>
      </c>
      <c r="R48" s="159"/>
      <c r="S48" s="159"/>
      <c r="T48" s="159"/>
      <c r="U48" s="159"/>
    </row>
    <row r="49" spans="1:27" ht="21" customHeight="1">
      <c r="A49" s="96" t="s">
        <v>13</v>
      </c>
      <c r="B49" s="420">
        <v>4</v>
      </c>
      <c r="C49" s="122"/>
      <c r="D49" s="107"/>
      <c r="E49" s="468">
        <v>3</v>
      </c>
      <c r="F49" s="107"/>
      <c r="G49" s="107">
        <f>SUM(B49:F49)</f>
        <v>7</v>
      </c>
      <c r="H49" s="159"/>
      <c r="I49" s="159"/>
      <c r="J49" s="159"/>
      <c r="K49" s="159"/>
      <c r="L49" s="159"/>
      <c r="M49" s="175"/>
      <c r="N49" s="109">
        <f>20+27</f>
        <v>47</v>
      </c>
      <c r="O49" s="109">
        <f>26+27+1</f>
        <v>54</v>
      </c>
      <c r="P49" s="109">
        <f>5+5+5</f>
        <v>15</v>
      </c>
      <c r="Q49" s="160">
        <f t="shared" si="16"/>
        <v>116</v>
      </c>
      <c r="R49" s="159"/>
      <c r="S49" s="159"/>
      <c r="T49" s="159"/>
      <c r="U49" s="159"/>
    </row>
    <row r="50" spans="1:27" ht="21" customHeight="1">
      <c r="A50" s="95" t="s">
        <v>3</v>
      </c>
      <c r="B50" s="106">
        <f t="shared" ref="B50:G50" si="17">SUM(B49:B49)</f>
        <v>4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7</v>
      </c>
      <c r="H50" s="160"/>
      <c r="I50" s="160"/>
      <c r="J50" s="160"/>
      <c r="K50" s="160"/>
      <c r="L50" s="160"/>
      <c r="M50" s="176"/>
      <c r="N50" s="109">
        <v>12</v>
      </c>
      <c r="O50" s="109">
        <v>11</v>
      </c>
      <c r="P50" s="109">
        <v>5</v>
      </c>
      <c r="Q50" s="160">
        <f t="shared" si="16"/>
        <v>28</v>
      </c>
      <c r="R50" s="160"/>
      <c r="S50" s="160"/>
      <c r="T50" s="160"/>
      <c r="U50" s="160"/>
    </row>
    <row r="51" spans="1:27" ht="21" customHeight="1">
      <c r="A51" s="101" t="s">
        <v>216</v>
      </c>
      <c r="B51" s="110">
        <f>SUM(B63,B74,B78)</f>
        <v>322</v>
      </c>
      <c r="C51" s="110">
        <f t="shared" ref="C51:G51" si="18">SUM(C63,C74,C78)</f>
        <v>260</v>
      </c>
      <c r="D51" s="110">
        <f t="shared" si="18"/>
        <v>209</v>
      </c>
      <c r="E51" s="110">
        <f>SUM(E63,E74,E78)</f>
        <v>66</v>
      </c>
      <c r="F51" s="110">
        <f t="shared" si="18"/>
        <v>13</v>
      </c>
      <c r="G51" s="110">
        <f t="shared" si="18"/>
        <v>870</v>
      </c>
      <c r="H51" s="162"/>
      <c r="I51" s="162"/>
      <c r="J51" s="162"/>
      <c r="K51" s="162"/>
      <c r="L51" s="162"/>
      <c r="M51" s="178"/>
      <c r="N51" s="109">
        <f>19+7</f>
        <v>26</v>
      </c>
      <c r="O51" s="109">
        <v>14</v>
      </c>
      <c r="P51" s="109">
        <f>2+2</f>
        <v>4</v>
      </c>
      <c r="Q51" s="160">
        <f t="shared" si="16"/>
        <v>44</v>
      </c>
      <c r="R51" s="162"/>
      <c r="S51" s="162"/>
      <c r="T51" s="162"/>
      <c r="U51" s="162"/>
      <c r="X51" s="117">
        <f>G51</f>
        <v>870</v>
      </c>
      <c r="AA51" s="93">
        <f>1294+870</f>
        <v>2164</v>
      </c>
    </row>
    <row r="52" spans="1:27" s="461" customFormat="1" ht="21" customHeight="1">
      <c r="A52" s="426" t="s">
        <v>242</v>
      </c>
      <c r="B52" s="426"/>
      <c r="C52" s="427"/>
      <c r="D52" s="428"/>
      <c r="E52" s="428">
        <v>21</v>
      </c>
      <c r="F52" s="428"/>
      <c r="G52" s="428">
        <f t="shared" ref="G52:G62" si="19">SUM(B52:F52)</f>
        <v>21</v>
      </c>
      <c r="H52" s="187"/>
      <c r="I52" s="187"/>
      <c r="J52" s="187">
        <f t="shared" ref="J52:J62" si="20">SUM(C52:F52)</f>
        <v>21</v>
      </c>
      <c r="K52" s="187"/>
      <c r="L52" s="187"/>
      <c r="M52" s="188"/>
      <c r="N52" s="443">
        <v>16</v>
      </c>
      <c r="O52" s="443">
        <v>35</v>
      </c>
      <c r="P52" s="443">
        <f>23+8</f>
        <v>31</v>
      </c>
      <c r="Q52" s="213">
        <f t="shared" si="16"/>
        <v>82</v>
      </c>
      <c r="R52" s="187"/>
      <c r="S52" s="187"/>
      <c r="T52" s="187"/>
      <c r="U52" s="187"/>
      <c r="V52" s="473">
        <v>39</v>
      </c>
      <c r="W52" s="474">
        <v>26</v>
      </c>
      <c r="X52" s="474">
        <v>35</v>
      </c>
      <c r="Y52" s="474">
        <v>15</v>
      </c>
      <c r="Z52" s="474">
        <v>4</v>
      </c>
    </row>
    <row r="53" spans="1:27" s="461" customFormat="1" ht="21" customHeight="1">
      <c r="A53" s="99" t="s">
        <v>243</v>
      </c>
      <c r="B53" s="448">
        <v>28</v>
      </c>
      <c r="C53" s="449">
        <v>16</v>
      </c>
      <c r="D53" s="450">
        <v>26</v>
      </c>
      <c r="E53" s="428">
        <v>12</v>
      </c>
      <c r="F53" s="428">
        <v>1</v>
      </c>
      <c r="G53" s="109">
        <f t="shared" si="19"/>
        <v>83</v>
      </c>
      <c r="H53" s="187"/>
      <c r="I53" s="187"/>
      <c r="J53" s="187">
        <f t="shared" si="20"/>
        <v>55</v>
      </c>
      <c r="K53" s="187"/>
      <c r="L53" s="187"/>
      <c r="M53" s="466" t="s">
        <v>251</v>
      </c>
      <c r="N53" s="187"/>
      <c r="O53" s="187"/>
      <c r="P53" s="187"/>
      <c r="Q53" s="187">
        <f>SUM(Q47:Q52)</f>
        <v>378</v>
      </c>
      <c r="R53" s="187"/>
      <c r="S53" s="187"/>
      <c r="T53" s="187"/>
      <c r="U53" s="187"/>
      <c r="V53" s="473">
        <v>45</v>
      </c>
      <c r="W53" s="474">
        <v>21</v>
      </c>
      <c r="X53" s="474">
        <v>22</v>
      </c>
      <c r="Y53" s="474">
        <v>18</v>
      </c>
      <c r="Z53" s="474">
        <v>7</v>
      </c>
    </row>
    <row r="54" spans="1:27" s="461" customFormat="1" ht="21" customHeight="1">
      <c r="A54" s="99" t="s">
        <v>218</v>
      </c>
      <c r="B54" s="448">
        <v>80</v>
      </c>
      <c r="C54" s="449">
        <f>31+30</f>
        <v>61</v>
      </c>
      <c r="D54" s="450">
        <v>42</v>
      </c>
      <c r="E54" s="428">
        <v>7</v>
      </c>
      <c r="F54" s="428">
        <v>6</v>
      </c>
      <c r="G54" s="109">
        <f t="shared" si="19"/>
        <v>196</v>
      </c>
      <c r="H54" s="187"/>
      <c r="I54" s="187"/>
      <c r="J54" s="187">
        <f t="shared" si="20"/>
        <v>116</v>
      </c>
      <c r="K54" s="187"/>
      <c r="L54" s="187"/>
      <c r="M54" s="188"/>
      <c r="N54" s="187"/>
      <c r="O54" s="187"/>
      <c r="P54" s="187"/>
      <c r="Q54" s="187"/>
      <c r="R54" s="187"/>
      <c r="S54" s="187"/>
      <c r="T54" s="187"/>
      <c r="U54" s="187"/>
      <c r="V54" s="473">
        <v>85</v>
      </c>
      <c r="W54" s="474">
        <v>52</v>
      </c>
      <c r="X54" s="474">
        <v>51</v>
      </c>
      <c r="Y54" s="474">
        <v>53</v>
      </c>
      <c r="Z54" s="474">
        <v>15</v>
      </c>
    </row>
    <row r="55" spans="1:27" s="461" customFormat="1" ht="21" customHeight="1">
      <c r="A55" s="426" t="s">
        <v>288</v>
      </c>
      <c r="B55" s="426"/>
      <c r="C55" s="427"/>
      <c r="D55" s="428"/>
      <c r="E55" s="428">
        <v>3</v>
      </c>
      <c r="F55" s="428">
        <f>2</f>
        <v>2</v>
      </c>
      <c r="G55" s="428">
        <f t="shared" ref="G55" si="21">SUM(B55:F55)</f>
        <v>5</v>
      </c>
      <c r="H55" s="187"/>
      <c r="I55" s="187"/>
      <c r="J55" s="187">
        <f t="shared" ref="J55" si="22">SUM(C55:F55)</f>
        <v>5</v>
      </c>
      <c r="K55" s="187"/>
      <c r="L55" s="187"/>
      <c r="M55" s="188"/>
      <c r="N55" s="187"/>
      <c r="O55" s="187"/>
      <c r="P55" s="187"/>
      <c r="Q55" s="187"/>
      <c r="R55" s="187"/>
      <c r="S55" s="187"/>
      <c r="T55" s="187"/>
      <c r="U55" s="187"/>
      <c r="V55" s="473">
        <v>36</v>
      </c>
      <c r="W55" s="474"/>
      <c r="X55" s="474"/>
      <c r="Y55" s="474"/>
      <c r="Z55" s="474"/>
    </row>
    <row r="56" spans="1:27" s="461" customFormat="1" ht="21" customHeight="1">
      <c r="A56" s="426" t="s">
        <v>245</v>
      </c>
      <c r="B56" s="426"/>
      <c r="C56" s="449">
        <v>13</v>
      </c>
      <c r="D56" s="450">
        <v>25</v>
      </c>
      <c r="E56" s="428"/>
      <c r="F56" s="428"/>
      <c r="G56" s="428">
        <f t="shared" si="19"/>
        <v>38</v>
      </c>
      <c r="H56" s="187"/>
      <c r="I56" s="187"/>
      <c r="J56" s="187">
        <f t="shared" si="20"/>
        <v>38</v>
      </c>
      <c r="K56" s="187"/>
      <c r="L56" s="187"/>
      <c r="M56" s="188"/>
      <c r="N56" s="187"/>
      <c r="O56" s="187"/>
      <c r="P56" s="187"/>
      <c r="Q56" s="187"/>
      <c r="R56" s="187"/>
      <c r="S56" s="187"/>
      <c r="T56" s="187"/>
      <c r="U56" s="187"/>
      <c r="V56" s="473">
        <v>36</v>
      </c>
      <c r="W56" s="474"/>
      <c r="X56" s="474"/>
      <c r="Y56" s="474"/>
      <c r="Z56" s="474"/>
    </row>
    <row r="57" spans="1:27" s="461" customFormat="1" ht="21" customHeight="1">
      <c r="A57" s="99" t="s">
        <v>176</v>
      </c>
      <c r="B57" s="99"/>
      <c r="C57" s="427">
        <v>17</v>
      </c>
      <c r="D57" s="428">
        <v>27</v>
      </c>
      <c r="E57" s="109"/>
      <c r="F57" s="109"/>
      <c r="G57" s="109">
        <f t="shared" si="19"/>
        <v>44</v>
      </c>
      <c r="H57" s="187"/>
      <c r="I57" s="187"/>
      <c r="J57" s="187">
        <f t="shared" si="20"/>
        <v>44</v>
      </c>
      <c r="K57" s="187"/>
      <c r="L57" s="187"/>
      <c r="M57" s="188"/>
      <c r="N57" s="187"/>
      <c r="O57" s="187"/>
      <c r="P57" s="187"/>
      <c r="Q57" s="187"/>
      <c r="R57" s="187"/>
      <c r="S57" s="187"/>
      <c r="T57" s="187"/>
      <c r="U57" s="187"/>
      <c r="V57" s="473">
        <v>46</v>
      </c>
      <c r="W57" s="474"/>
      <c r="X57" s="474"/>
      <c r="Y57" s="474"/>
      <c r="Z57" s="474"/>
    </row>
    <row r="58" spans="1:27" s="461" customFormat="1" ht="21" customHeight="1">
      <c r="A58" s="99" t="s">
        <v>246</v>
      </c>
      <c r="B58" s="448">
        <v>46</v>
      </c>
      <c r="C58" s="449">
        <v>32</v>
      </c>
      <c r="D58" s="450">
        <v>21</v>
      </c>
      <c r="E58" s="428"/>
      <c r="F58" s="109"/>
      <c r="G58" s="109">
        <f t="shared" si="19"/>
        <v>99</v>
      </c>
      <c r="H58" s="187"/>
      <c r="I58" s="187"/>
      <c r="J58" s="187">
        <f t="shared" si="20"/>
        <v>53</v>
      </c>
      <c r="K58" s="187"/>
      <c r="L58" s="187"/>
      <c r="M58" s="188"/>
      <c r="N58" s="187"/>
      <c r="O58" s="187"/>
      <c r="P58" s="187"/>
      <c r="Q58" s="187"/>
      <c r="R58" s="187"/>
      <c r="S58" s="187"/>
      <c r="T58" s="187"/>
      <c r="U58" s="187"/>
      <c r="V58" s="473">
        <v>44</v>
      </c>
      <c r="W58" s="474"/>
      <c r="X58" s="474"/>
      <c r="Y58" s="474"/>
      <c r="Z58" s="474"/>
    </row>
    <row r="59" spans="1:27" s="461" customFormat="1" ht="21" customHeight="1">
      <c r="A59" s="99" t="s">
        <v>247</v>
      </c>
      <c r="B59" s="448">
        <v>52</v>
      </c>
      <c r="C59" s="449">
        <v>29</v>
      </c>
      <c r="D59" s="450">
        <v>27</v>
      </c>
      <c r="E59" s="109"/>
      <c r="F59" s="109"/>
      <c r="G59" s="109">
        <f t="shared" si="19"/>
        <v>108</v>
      </c>
      <c r="H59" s="187"/>
      <c r="I59" s="187"/>
      <c r="J59" s="187">
        <f t="shared" si="20"/>
        <v>56</v>
      </c>
      <c r="K59" s="187"/>
      <c r="L59" s="187"/>
      <c r="M59" s="188"/>
      <c r="N59" s="187">
        <f>G59+G60</f>
        <v>164</v>
      </c>
      <c r="O59" s="187"/>
      <c r="P59" s="187"/>
      <c r="Q59" s="187"/>
      <c r="R59" s="187"/>
      <c r="S59" s="187"/>
      <c r="T59" s="187"/>
      <c r="U59" s="187"/>
      <c r="V59" s="473"/>
      <c r="W59" s="474">
        <v>13</v>
      </c>
      <c r="X59" s="474">
        <v>12</v>
      </c>
      <c r="Y59" s="474">
        <v>8</v>
      </c>
      <c r="Z59" s="474"/>
    </row>
    <row r="60" spans="1:27" s="461" customFormat="1" ht="21" customHeight="1">
      <c r="A60" s="99" t="s">
        <v>248</v>
      </c>
      <c r="B60" s="448">
        <v>17</v>
      </c>
      <c r="C60" s="449">
        <v>17</v>
      </c>
      <c r="D60" s="450">
        <v>22</v>
      </c>
      <c r="E60" s="109"/>
      <c r="F60" s="109"/>
      <c r="G60" s="109">
        <f t="shared" si="19"/>
        <v>56</v>
      </c>
      <c r="H60" s="187"/>
      <c r="I60" s="187"/>
      <c r="J60" s="187">
        <f t="shared" si="20"/>
        <v>39</v>
      </c>
      <c r="K60" s="187"/>
      <c r="L60" s="187"/>
      <c r="M60" s="188"/>
      <c r="N60" s="187"/>
      <c r="O60" s="187"/>
      <c r="P60" s="187"/>
      <c r="Q60" s="187"/>
      <c r="R60" s="187"/>
      <c r="S60" s="187"/>
      <c r="T60" s="187"/>
      <c r="U60" s="187"/>
      <c r="V60" s="473"/>
      <c r="W60" s="474">
        <v>13</v>
      </c>
      <c r="X60" s="474">
        <v>12</v>
      </c>
      <c r="Y60" s="474">
        <v>8</v>
      </c>
      <c r="Z60" s="474"/>
    </row>
    <row r="61" spans="1:27" ht="21" customHeight="1">
      <c r="A61" s="99" t="s">
        <v>244</v>
      </c>
      <c r="B61" s="448">
        <v>22</v>
      </c>
      <c r="C61" s="449">
        <v>9</v>
      </c>
      <c r="D61" s="450">
        <v>18</v>
      </c>
      <c r="E61" s="428">
        <v>6</v>
      </c>
      <c r="F61" s="109"/>
      <c r="G61" s="109">
        <f t="shared" si="19"/>
        <v>55</v>
      </c>
      <c r="H61" s="161"/>
      <c r="I61" s="161"/>
      <c r="J61" s="161">
        <f t="shared" si="20"/>
        <v>33</v>
      </c>
      <c r="K61" s="161"/>
      <c r="L61" s="161"/>
      <c r="M61" s="177"/>
      <c r="N61" s="161"/>
      <c r="O61" s="161"/>
      <c r="P61" s="161"/>
      <c r="Q61" s="161"/>
      <c r="R61" s="161"/>
      <c r="S61" s="161"/>
      <c r="T61" s="161"/>
      <c r="U61" s="161"/>
      <c r="V61" s="169">
        <v>32</v>
      </c>
      <c r="W61" s="117">
        <v>21</v>
      </c>
      <c r="X61" s="117">
        <v>17</v>
      </c>
      <c r="Y61" s="117">
        <v>22</v>
      </c>
      <c r="Z61" s="117">
        <v>4</v>
      </c>
    </row>
    <row r="62" spans="1:27" s="461" customFormat="1" ht="21" customHeight="1">
      <c r="A62" s="441" t="s">
        <v>37</v>
      </c>
      <c r="B62" s="441"/>
      <c r="C62" s="442"/>
      <c r="D62" s="443"/>
      <c r="E62" s="443">
        <v>14</v>
      </c>
      <c r="F62" s="443">
        <v>4</v>
      </c>
      <c r="G62" s="443">
        <f t="shared" si="19"/>
        <v>18</v>
      </c>
      <c r="H62" s="187"/>
      <c r="I62" s="187"/>
      <c r="J62" s="187">
        <f t="shared" si="20"/>
        <v>18</v>
      </c>
      <c r="K62" s="187"/>
      <c r="L62" s="187"/>
      <c r="M62" s="188"/>
      <c r="N62" s="187"/>
      <c r="O62" s="187"/>
      <c r="P62" s="187"/>
      <c r="Q62" s="187"/>
      <c r="R62" s="187"/>
      <c r="S62" s="187"/>
      <c r="T62" s="187"/>
      <c r="U62" s="187"/>
      <c r="V62" s="473">
        <v>48</v>
      </c>
      <c r="W62" s="474">
        <v>26</v>
      </c>
      <c r="X62" s="474">
        <v>36</v>
      </c>
      <c r="Y62" s="474">
        <v>37</v>
      </c>
      <c r="Z62" s="474">
        <v>21</v>
      </c>
    </row>
    <row r="63" spans="1:27" ht="21" customHeight="1">
      <c r="A63" s="102" t="s">
        <v>217</v>
      </c>
      <c r="B63" s="110">
        <f t="shared" ref="B63:G63" si="23">SUM(B52:B62)</f>
        <v>245</v>
      </c>
      <c r="C63" s="110">
        <f t="shared" si="23"/>
        <v>194</v>
      </c>
      <c r="D63" s="110">
        <f t="shared" si="23"/>
        <v>208</v>
      </c>
      <c r="E63" s="110">
        <f>SUM(E52:E62)</f>
        <v>63</v>
      </c>
      <c r="F63" s="110">
        <f t="shared" si="23"/>
        <v>13</v>
      </c>
      <c r="G63" s="110">
        <f t="shared" si="23"/>
        <v>723</v>
      </c>
      <c r="H63" s="162"/>
      <c r="I63" s="162"/>
      <c r="J63" s="162"/>
      <c r="K63" s="162"/>
      <c r="L63" s="162"/>
      <c r="M63" s="178"/>
      <c r="N63" s="162">
        <f>27+13+11+2</f>
        <v>53</v>
      </c>
      <c r="O63" s="162"/>
      <c r="P63" s="162"/>
      <c r="Q63" s="162"/>
      <c r="R63" s="162"/>
      <c r="S63" s="162"/>
      <c r="T63" s="162"/>
      <c r="U63" s="162"/>
      <c r="V63" s="169">
        <f>SUM(V52:V62)</f>
        <v>411</v>
      </c>
      <c r="W63" s="117">
        <f>SUM(W52:W62)</f>
        <v>172</v>
      </c>
      <c r="X63" s="117">
        <f>SUM(X52:X62)</f>
        <v>185</v>
      </c>
      <c r="Y63" s="117">
        <f>SUM(Y52:Y62)</f>
        <v>161</v>
      </c>
      <c r="Z63" s="117">
        <f>SUM(Z52:Z62)</f>
        <v>51</v>
      </c>
      <c r="AA63" s="169"/>
    </row>
    <row r="64" spans="1:27" ht="21" customHeight="1">
      <c r="A64" s="99" t="s">
        <v>78</v>
      </c>
      <c r="B64" s="99"/>
      <c r="C64" s="109"/>
      <c r="D64" s="109"/>
      <c r="E64" s="109"/>
      <c r="F64" s="109"/>
      <c r="G64" s="109">
        <f t="shared" ref="G64:G73" si="24">SUM(B64:F64)</f>
        <v>0</v>
      </c>
      <c r="H64" s="161"/>
      <c r="I64" s="161"/>
      <c r="J64" s="161">
        <f t="shared" ref="J64:J73" si="25">SUM(C64:F64)</f>
        <v>0</v>
      </c>
      <c r="K64" s="161"/>
      <c r="L64" s="161"/>
      <c r="M64" s="177"/>
      <c r="N64" s="161"/>
      <c r="O64" s="161"/>
      <c r="P64" s="161"/>
      <c r="Q64" s="161"/>
      <c r="R64" s="161"/>
      <c r="S64" s="161"/>
      <c r="T64" s="161"/>
      <c r="U64" s="161"/>
      <c r="V64" s="169">
        <v>33</v>
      </c>
      <c r="W64" s="117">
        <v>26</v>
      </c>
      <c r="X64" s="117">
        <v>4</v>
      </c>
      <c r="Y64" s="117"/>
      <c r="Z64" s="117">
        <v>1</v>
      </c>
    </row>
    <row r="65" spans="1:26" ht="21" customHeight="1">
      <c r="A65" s="100" t="s">
        <v>121</v>
      </c>
      <c r="B65" s="100"/>
      <c r="C65" s="124"/>
      <c r="D65" s="108"/>
      <c r="E65" s="108"/>
      <c r="F65" s="108"/>
      <c r="G65" s="108">
        <f t="shared" si="24"/>
        <v>0</v>
      </c>
      <c r="H65" s="161"/>
      <c r="I65" s="161"/>
      <c r="J65" s="161">
        <f t="shared" si="25"/>
        <v>0</v>
      </c>
      <c r="K65" s="161"/>
      <c r="L65" s="161"/>
      <c r="M65" s="177"/>
      <c r="N65" s="161"/>
      <c r="O65" s="161"/>
      <c r="P65" s="161"/>
      <c r="Q65" s="161"/>
      <c r="R65" s="161"/>
      <c r="S65" s="161"/>
      <c r="T65" s="161"/>
      <c r="U65" s="161"/>
      <c r="V65" s="169"/>
      <c r="W65" s="117"/>
      <c r="X65" s="117"/>
      <c r="Y65" s="117"/>
      <c r="Z65" s="117"/>
    </row>
    <row r="66" spans="1:26" s="461" customFormat="1" ht="21" customHeight="1">
      <c r="A66" s="100" t="s">
        <v>249</v>
      </c>
      <c r="B66" s="422">
        <v>11</v>
      </c>
      <c r="C66" s="423">
        <v>2</v>
      </c>
      <c r="D66" s="108"/>
      <c r="E66" s="108"/>
      <c r="F66" s="108"/>
      <c r="G66" s="108">
        <f t="shared" si="24"/>
        <v>13</v>
      </c>
      <c r="H66" s="187"/>
      <c r="I66" s="187"/>
      <c r="J66" s="187">
        <f t="shared" si="25"/>
        <v>2</v>
      </c>
      <c r="K66" s="187"/>
      <c r="L66" s="187"/>
      <c r="M66" s="188"/>
      <c r="N66" s="187"/>
      <c r="O66" s="187"/>
      <c r="P66" s="187"/>
      <c r="Q66" s="187"/>
      <c r="R66" s="187"/>
      <c r="S66" s="187"/>
      <c r="T66" s="187"/>
      <c r="U66" s="187"/>
      <c r="V66" s="473"/>
      <c r="W66" s="474"/>
      <c r="X66" s="474"/>
      <c r="Y66" s="474"/>
      <c r="Z66" s="474"/>
    </row>
    <row r="67" spans="1:26" s="461" customFormat="1" ht="21" customHeight="1">
      <c r="A67" s="99" t="s">
        <v>297</v>
      </c>
      <c r="B67" s="426">
        <v>21</v>
      </c>
      <c r="C67" s="427">
        <v>8</v>
      </c>
      <c r="D67" s="109"/>
      <c r="E67" s="109"/>
      <c r="F67" s="109"/>
      <c r="G67" s="108">
        <f t="shared" si="24"/>
        <v>29</v>
      </c>
      <c r="H67" s="187"/>
      <c r="I67" s="187"/>
      <c r="J67" s="187">
        <f t="shared" si="25"/>
        <v>8</v>
      </c>
      <c r="K67" s="187"/>
      <c r="L67" s="187"/>
      <c r="M67" s="188"/>
      <c r="N67" s="187"/>
      <c r="O67" s="187"/>
      <c r="P67" s="187"/>
      <c r="Q67" s="187"/>
      <c r="R67" s="187"/>
      <c r="S67" s="187"/>
      <c r="T67" s="187"/>
      <c r="U67" s="187"/>
      <c r="V67" s="473"/>
      <c r="W67" s="474">
        <v>13</v>
      </c>
      <c r="X67" s="474">
        <v>12</v>
      </c>
      <c r="Y67" s="474">
        <v>8</v>
      </c>
      <c r="Z67" s="474"/>
    </row>
    <row r="68" spans="1:26" s="461" customFormat="1" ht="21" customHeight="1">
      <c r="A68" s="99" t="s">
        <v>296</v>
      </c>
      <c r="B68" s="426">
        <v>14</v>
      </c>
      <c r="C68" s="427">
        <v>28</v>
      </c>
      <c r="D68" s="109"/>
      <c r="E68" s="109"/>
      <c r="F68" s="109"/>
      <c r="G68" s="108">
        <f t="shared" si="24"/>
        <v>42</v>
      </c>
      <c r="H68" s="187"/>
      <c r="I68" s="187"/>
      <c r="J68" s="187">
        <f t="shared" si="25"/>
        <v>28</v>
      </c>
      <c r="K68" s="187"/>
      <c r="L68" s="187"/>
      <c r="M68" s="188"/>
      <c r="N68" s="187"/>
      <c r="O68" s="187"/>
      <c r="P68" s="187"/>
      <c r="Q68" s="187"/>
      <c r="R68" s="187"/>
      <c r="S68" s="187"/>
      <c r="T68" s="187"/>
      <c r="U68" s="187"/>
      <c r="V68" s="473"/>
      <c r="W68" s="474">
        <v>13</v>
      </c>
      <c r="X68" s="474">
        <v>12</v>
      </c>
      <c r="Y68" s="474">
        <v>8</v>
      </c>
      <c r="Z68" s="474"/>
    </row>
    <row r="69" spans="1:26" s="461" customFormat="1" ht="21" customHeight="1">
      <c r="A69" s="99" t="s">
        <v>246</v>
      </c>
      <c r="B69" s="426">
        <v>20</v>
      </c>
      <c r="C69" s="427">
        <v>26</v>
      </c>
      <c r="D69" s="109"/>
      <c r="E69" s="109"/>
      <c r="F69" s="109"/>
      <c r="G69" s="108">
        <f t="shared" si="24"/>
        <v>46</v>
      </c>
      <c r="H69" s="187"/>
      <c r="I69" s="187"/>
      <c r="J69" s="187">
        <f t="shared" si="25"/>
        <v>26</v>
      </c>
      <c r="K69" s="187"/>
      <c r="L69" s="187"/>
      <c r="M69" s="188"/>
      <c r="N69" s="187"/>
      <c r="O69" s="187"/>
      <c r="P69" s="187"/>
      <c r="Q69" s="187"/>
      <c r="R69" s="187"/>
      <c r="S69" s="187"/>
      <c r="T69" s="187"/>
      <c r="U69" s="187"/>
      <c r="V69" s="473">
        <v>25</v>
      </c>
      <c r="W69" s="474"/>
      <c r="X69" s="474"/>
      <c r="Y69" s="474"/>
      <c r="Z69" s="474"/>
    </row>
    <row r="70" spans="1:26" ht="21" customHeight="1">
      <c r="A70" s="100" t="s">
        <v>100</v>
      </c>
      <c r="B70" s="100"/>
      <c r="C70" s="124"/>
      <c r="D70" s="108"/>
      <c r="E70" s="108"/>
      <c r="F70" s="108"/>
      <c r="G70" s="108">
        <f t="shared" si="24"/>
        <v>0</v>
      </c>
      <c r="H70" s="161"/>
      <c r="I70" s="161"/>
      <c r="J70" s="161">
        <f t="shared" si="25"/>
        <v>0</v>
      </c>
      <c r="K70" s="161"/>
      <c r="L70" s="161"/>
      <c r="M70" s="177"/>
      <c r="N70" s="161"/>
      <c r="O70" s="161"/>
      <c r="P70" s="161"/>
      <c r="Q70" s="161"/>
      <c r="R70" s="161"/>
      <c r="S70" s="161"/>
      <c r="T70" s="161"/>
      <c r="U70" s="161"/>
      <c r="V70" s="169"/>
      <c r="W70" s="117">
        <v>18</v>
      </c>
      <c r="X70" s="117">
        <v>11</v>
      </c>
      <c r="Y70" s="117"/>
      <c r="Z70" s="117"/>
    </row>
    <row r="71" spans="1:26" ht="21" customHeight="1">
      <c r="A71" s="100" t="s">
        <v>153</v>
      </c>
      <c r="B71" s="100"/>
      <c r="C71" s="124"/>
      <c r="D71" s="108"/>
      <c r="E71" s="108"/>
      <c r="F71" s="108"/>
      <c r="G71" s="108">
        <f t="shared" si="24"/>
        <v>0</v>
      </c>
      <c r="H71" s="161"/>
      <c r="I71" s="161"/>
      <c r="J71" s="161">
        <f t="shared" si="25"/>
        <v>0</v>
      </c>
      <c r="K71" s="161"/>
      <c r="L71" s="161"/>
      <c r="M71" s="177"/>
      <c r="N71" s="161"/>
      <c r="O71" s="161"/>
      <c r="P71" s="161"/>
      <c r="Q71" s="161"/>
      <c r="R71" s="161"/>
      <c r="S71" s="161"/>
      <c r="T71" s="161"/>
      <c r="U71" s="161"/>
      <c r="V71" s="169">
        <v>40</v>
      </c>
      <c r="W71" s="117">
        <v>39</v>
      </c>
      <c r="X71" s="117">
        <v>42</v>
      </c>
      <c r="Y71" s="117">
        <v>1</v>
      </c>
      <c r="Z71" s="117"/>
    </row>
    <row r="72" spans="1:26" s="461" customFormat="1" ht="21" customHeight="1">
      <c r="A72" s="100" t="s">
        <v>250</v>
      </c>
      <c r="B72" s="422">
        <v>11</v>
      </c>
      <c r="C72" s="423">
        <v>2</v>
      </c>
      <c r="D72" s="424">
        <v>1</v>
      </c>
      <c r="E72" s="108"/>
      <c r="F72" s="108"/>
      <c r="G72" s="108">
        <f t="shared" si="24"/>
        <v>14</v>
      </c>
      <c r="H72" s="187"/>
      <c r="I72" s="187"/>
      <c r="J72" s="187">
        <f t="shared" si="25"/>
        <v>3</v>
      </c>
      <c r="K72" s="187"/>
      <c r="L72" s="187"/>
      <c r="M72" s="188"/>
      <c r="N72" s="187"/>
      <c r="O72" s="187"/>
      <c r="P72" s="187"/>
      <c r="Q72" s="187"/>
      <c r="R72" s="187"/>
      <c r="S72" s="187"/>
      <c r="T72" s="187"/>
      <c r="U72" s="187"/>
      <c r="V72" s="473">
        <v>21</v>
      </c>
      <c r="W72" s="474">
        <v>33</v>
      </c>
      <c r="X72" s="474">
        <v>16</v>
      </c>
      <c r="Y72" s="474">
        <v>2</v>
      </c>
      <c r="Z72" s="474"/>
    </row>
    <row r="73" spans="1:26" ht="21" customHeight="1">
      <c r="A73" s="103" t="s">
        <v>111</v>
      </c>
      <c r="B73" s="103"/>
      <c r="C73" s="125"/>
      <c r="D73" s="111"/>
      <c r="E73" s="111"/>
      <c r="F73" s="111"/>
      <c r="G73" s="111">
        <f t="shared" si="24"/>
        <v>0</v>
      </c>
      <c r="H73" s="161"/>
      <c r="I73" s="161"/>
      <c r="J73" s="161">
        <f t="shared" si="25"/>
        <v>0</v>
      </c>
      <c r="K73" s="161"/>
      <c r="L73" s="161"/>
      <c r="M73" s="177"/>
      <c r="N73" s="161"/>
      <c r="O73" s="161"/>
      <c r="P73" s="161"/>
      <c r="Q73" s="161"/>
      <c r="R73" s="161"/>
      <c r="S73" s="161"/>
      <c r="T73" s="161"/>
      <c r="U73" s="161"/>
      <c r="V73" s="169"/>
      <c r="W73" s="117">
        <v>15</v>
      </c>
      <c r="X73" s="117">
        <v>2</v>
      </c>
      <c r="Y73" s="117"/>
      <c r="Z73" s="117"/>
    </row>
    <row r="74" spans="1:26" ht="21" customHeight="1">
      <c r="A74" s="95" t="s">
        <v>219</v>
      </c>
      <c r="B74" s="106">
        <f t="shared" ref="B74:G74" si="26">SUM(B64:B73)</f>
        <v>77</v>
      </c>
      <c r="C74" s="106">
        <f t="shared" si="26"/>
        <v>66</v>
      </c>
      <c r="D74" s="106">
        <f t="shared" si="26"/>
        <v>1</v>
      </c>
      <c r="E74" s="106">
        <f t="shared" si="26"/>
        <v>0</v>
      </c>
      <c r="F74" s="106">
        <f t="shared" si="26"/>
        <v>0</v>
      </c>
      <c r="G74" s="106">
        <f t="shared" si="26"/>
        <v>144</v>
      </c>
      <c r="H74" s="160"/>
      <c r="I74" s="160"/>
      <c r="J74" s="160"/>
      <c r="K74" s="160"/>
      <c r="L74" s="160"/>
      <c r="M74" s="176"/>
      <c r="N74" s="160"/>
      <c r="O74" s="160"/>
      <c r="P74" s="160"/>
      <c r="Q74" s="160"/>
      <c r="R74" s="160"/>
      <c r="S74" s="160"/>
      <c r="T74" s="160"/>
      <c r="U74" s="160"/>
      <c r="V74" s="170">
        <f>SUM(V64:V73)</f>
        <v>119</v>
      </c>
      <c r="W74" s="117">
        <f>SUM(W64:W73)</f>
        <v>157</v>
      </c>
      <c r="X74" s="117">
        <f>SUM(X64:X73)</f>
        <v>99</v>
      </c>
      <c r="Y74" s="117">
        <f>SUM(Y64:Y73)</f>
        <v>19</v>
      </c>
      <c r="Z74" s="117">
        <f>SUM(Z64:Z73)</f>
        <v>1</v>
      </c>
    </row>
    <row r="75" spans="1:26" ht="21" customHeight="1">
      <c r="A75" s="99" t="s">
        <v>48</v>
      </c>
      <c r="B75" s="99"/>
      <c r="C75" s="123"/>
      <c r="D75" s="109"/>
      <c r="E75" s="109"/>
      <c r="F75" s="109"/>
      <c r="G75" s="109"/>
      <c r="H75" s="161"/>
      <c r="I75" s="161"/>
      <c r="J75" s="161"/>
      <c r="K75" s="161"/>
      <c r="L75" s="161"/>
      <c r="M75" s="177"/>
      <c r="N75" s="161"/>
      <c r="O75" s="161"/>
      <c r="P75" s="161"/>
      <c r="Q75" s="161"/>
      <c r="R75" s="161"/>
      <c r="S75" s="161"/>
      <c r="T75" s="161"/>
      <c r="U75" s="161"/>
    </row>
    <row r="76" spans="1:26" ht="21" customHeight="1">
      <c r="A76" s="100" t="s">
        <v>109</v>
      </c>
      <c r="B76" s="100"/>
      <c r="C76" s="124"/>
      <c r="D76" s="108"/>
      <c r="E76" s="467">
        <v>3</v>
      </c>
      <c r="F76" s="108"/>
      <c r="G76" s="108">
        <f>SUM(B76:F76)</f>
        <v>3</v>
      </c>
      <c r="H76" s="161"/>
      <c r="I76" s="161"/>
      <c r="J76" s="161"/>
      <c r="K76" s="161"/>
      <c r="L76" s="161"/>
      <c r="M76" s="177"/>
      <c r="N76" s="161"/>
      <c r="O76" s="161"/>
      <c r="P76" s="161"/>
      <c r="Q76" s="161"/>
      <c r="R76" s="161"/>
      <c r="S76" s="161"/>
      <c r="T76" s="161"/>
      <c r="U76" s="161"/>
    </row>
    <row r="77" spans="1:26" ht="21" customHeight="1">
      <c r="A77" s="103"/>
      <c r="B77" s="103"/>
      <c r="C77" s="125"/>
      <c r="D77" s="111"/>
      <c r="E77" s="111"/>
      <c r="F77" s="111"/>
      <c r="G77" s="111"/>
      <c r="H77" s="161"/>
      <c r="I77" s="161"/>
      <c r="J77" s="161"/>
      <c r="K77" s="161"/>
      <c r="L77" s="161"/>
      <c r="M77" s="177"/>
      <c r="N77" s="161"/>
      <c r="O77" s="161"/>
      <c r="P77" s="161"/>
      <c r="Q77" s="161"/>
      <c r="R77" s="161"/>
      <c r="S77" s="161"/>
      <c r="T77" s="161"/>
      <c r="U77" s="161"/>
    </row>
    <row r="78" spans="1:26" ht="21" customHeight="1">
      <c r="A78" s="95" t="s">
        <v>3</v>
      </c>
      <c r="B78" s="106">
        <f t="shared" ref="B78:G78" si="27">SUM(B76:B77)</f>
        <v>0</v>
      </c>
      <c r="C78" s="106">
        <f t="shared" si="27"/>
        <v>0</v>
      </c>
      <c r="D78" s="106">
        <f t="shared" si="27"/>
        <v>0</v>
      </c>
      <c r="E78" s="106">
        <f t="shared" si="27"/>
        <v>3</v>
      </c>
      <c r="F78" s="106">
        <f t="shared" si="27"/>
        <v>0</v>
      </c>
      <c r="G78" s="106">
        <f t="shared" si="27"/>
        <v>3</v>
      </c>
      <c r="H78" s="160"/>
      <c r="I78" s="160"/>
      <c r="J78" s="160"/>
      <c r="K78" s="160"/>
      <c r="L78" s="160"/>
      <c r="M78" s="176"/>
      <c r="N78" s="160"/>
      <c r="O78" s="160"/>
      <c r="P78" s="160"/>
      <c r="Q78" s="160"/>
      <c r="R78" s="160"/>
      <c r="S78" s="160"/>
      <c r="T78" s="160"/>
      <c r="U78" s="160"/>
    </row>
    <row r="79" spans="1:26" ht="21" customHeight="1">
      <c r="A79" s="101" t="s">
        <v>16</v>
      </c>
      <c r="B79" s="110">
        <f t="shared" ref="B79:G79" si="28">SUM(B80:B97)</f>
        <v>294</v>
      </c>
      <c r="C79" s="110">
        <f t="shared" si="28"/>
        <v>185</v>
      </c>
      <c r="D79" s="110">
        <f t="shared" si="28"/>
        <v>160</v>
      </c>
      <c r="E79" s="110">
        <f t="shared" si="28"/>
        <v>112</v>
      </c>
      <c r="F79" s="110">
        <f t="shared" si="28"/>
        <v>24</v>
      </c>
      <c r="G79" s="110">
        <f t="shared" si="28"/>
        <v>775</v>
      </c>
      <c r="H79" s="162"/>
      <c r="I79" s="162"/>
      <c r="J79" s="162"/>
      <c r="K79" s="162">
        <f>136+113+168+271</f>
        <v>688</v>
      </c>
      <c r="L79" s="162"/>
      <c r="M79" s="178"/>
      <c r="N79" s="162"/>
      <c r="O79" s="162"/>
      <c r="P79" s="162"/>
      <c r="Q79" s="162"/>
      <c r="R79" s="162"/>
      <c r="S79" s="162"/>
      <c r="T79" s="162"/>
      <c r="U79" s="162"/>
      <c r="X79" s="117">
        <f>G79</f>
        <v>775</v>
      </c>
    </row>
    <row r="80" spans="1:26" s="461" customFormat="1" ht="21" customHeight="1">
      <c r="A80" s="426" t="s">
        <v>17</v>
      </c>
      <c r="B80" s="426">
        <v>123</v>
      </c>
      <c r="C80" s="427">
        <f>41+41</f>
        <v>82</v>
      </c>
      <c r="D80" s="428">
        <f>40+34</f>
        <v>74</v>
      </c>
      <c r="E80" s="428">
        <v>63</v>
      </c>
      <c r="F80" s="428">
        <v>12</v>
      </c>
      <c r="G80" s="428">
        <f>SUM(B80:F87)</f>
        <v>354</v>
      </c>
      <c r="H80" s="187"/>
      <c r="I80" s="187"/>
      <c r="J80" s="187">
        <f t="shared" ref="J80:J111" si="29">SUM(C80:F80)</f>
        <v>231</v>
      </c>
      <c r="K80" s="187"/>
      <c r="L80" s="187"/>
      <c r="M80" s="188"/>
      <c r="N80" s="187"/>
      <c r="O80" s="187"/>
      <c r="P80" s="187"/>
      <c r="Q80" s="187"/>
      <c r="R80" s="187"/>
      <c r="S80" s="187"/>
      <c r="T80" s="187"/>
      <c r="U80" s="187"/>
      <c r="V80" s="473">
        <v>119</v>
      </c>
      <c r="W80" s="474">
        <v>65</v>
      </c>
      <c r="X80" s="474">
        <v>88</v>
      </c>
      <c r="Y80" s="474">
        <v>36</v>
      </c>
      <c r="Z80" s="474">
        <v>3</v>
      </c>
    </row>
    <row r="81" spans="1:26" ht="21" hidden="1" customHeight="1">
      <c r="A81" s="100" t="s">
        <v>101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9"/>
        <v>0</v>
      </c>
      <c r="K81" s="161"/>
      <c r="L81" s="161"/>
      <c r="M81" s="177"/>
      <c r="N81" s="161"/>
      <c r="O81" s="161"/>
      <c r="P81" s="161"/>
      <c r="Q81" s="161"/>
      <c r="R81" s="161"/>
      <c r="S81" s="161"/>
      <c r="T81" s="161"/>
      <c r="U81" s="161"/>
      <c r="V81" s="169"/>
      <c r="W81" s="117"/>
      <c r="X81" s="117"/>
      <c r="Y81" s="117"/>
      <c r="Z81" s="117"/>
    </row>
    <row r="82" spans="1:26" ht="21" hidden="1" customHeight="1">
      <c r="A82" s="100" t="s">
        <v>102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9"/>
        <v>0</v>
      </c>
      <c r="K82" s="161"/>
      <c r="L82" s="161"/>
      <c r="M82" s="177"/>
      <c r="N82" s="161"/>
      <c r="O82" s="161"/>
      <c r="P82" s="161"/>
      <c r="Q82" s="161"/>
      <c r="R82" s="161"/>
      <c r="S82" s="161"/>
      <c r="T82" s="161"/>
      <c r="U82" s="161"/>
      <c r="V82" s="169"/>
      <c r="W82" s="117"/>
      <c r="X82" s="117"/>
      <c r="Y82" s="117"/>
      <c r="Z82" s="117"/>
    </row>
    <row r="83" spans="1:26" ht="21" hidden="1" customHeight="1">
      <c r="A83" s="100" t="s">
        <v>103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9"/>
        <v>0</v>
      </c>
      <c r="K83" s="161"/>
      <c r="L83" s="161"/>
      <c r="M83" s="177"/>
      <c r="N83" s="161"/>
      <c r="O83" s="161"/>
      <c r="P83" s="161"/>
      <c r="Q83" s="161"/>
      <c r="R83" s="161"/>
      <c r="S83" s="161"/>
      <c r="T83" s="161"/>
      <c r="U83" s="161"/>
      <c r="V83" s="169"/>
      <c r="W83" s="117"/>
      <c r="X83" s="117"/>
      <c r="Y83" s="117"/>
      <c r="Z83" s="117"/>
    </row>
    <row r="84" spans="1:26" ht="21" hidden="1" customHeight="1">
      <c r="A84" s="100" t="s">
        <v>104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9"/>
        <v>0</v>
      </c>
      <c r="K84" s="161"/>
      <c r="L84" s="161"/>
      <c r="M84" s="177"/>
      <c r="N84" s="161"/>
      <c r="O84" s="161"/>
      <c r="P84" s="161"/>
      <c r="Q84" s="161"/>
      <c r="R84" s="161"/>
      <c r="S84" s="161"/>
      <c r="T84" s="161"/>
      <c r="U84" s="161"/>
      <c r="V84" s="169"/>
      <c r="W84" s="117"/>
      <c r="X84" s="117"/>
      <c r="Y84" s="117"/>
      <c r="Z84" s="117"/>
    </row>
    <row r="85" spans="1:26" ht="21" hidden="1" customHeight="1">
      <c r="A85" s="100" t="s">
        <v>105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9"/>
        <v>0</v>
      </c>
      <c r="K85" s="161"/>
      <c r="L85" s="161"/>
      <c r="M85" s="177"/>
      <c r="N85" s="161"/>
      <c r="O85" s="161"/>
      <c r="P85" s="161"/>
      <c r="Q85" s="161"/>
      <c r="R85" s="161"/>
      <c r="S85" s="161"/>
      <c r="T85" s="161"/>
      <c r="U85" s="161"/>
      <c r="V85" s="169"/>
      <c r="W85" s="117"/>
      <c r="X85" s="117"/>
      <c r="Y85" s="117"/>
      <c r="Z85" s="117"/>
    </row>
    <row r="86" spans="1:26" ht="21" hidden="1" customHeight="1">
      <c r="A86" s="100" t="s">
        <v>119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9"/>
        <v>0</v>
      </c>
      <c r="K86" s="161"/>
      <c r="L86" s="161"/>
      <c r="M86" s="177"/>
      <c r="N86" s="161"/>
      <c r="O86" s="161"/>
      <c r="P86" s="161"/>
      <c r="Q86" s="161"/>
      <c r="R86" s="161"/>
      <c r="S86" s="161"/>
      <c r="T86" s="161"/>
      <c r="U86" s="161"/>
      <c r="V86" s="169"/>
      <c r="W86" s="117"/>
      <c r="X86" s="117"/>
      <c r="Y86" s="117"/>
      <c r="Z86" s="117"/>
    </row>
    <row r="87" spans="1:26" ht="21" hidden="1" customHeight="1">
      <c r="A87" s="100" t="s">
        <v>89</v>
      </c>
      <c r="B87" s="100"/>
      <c r="C87" s="124"/>
      <c r="D87" s="108"/>
      <c r="E87" s="108"/>
      <c r="F87" s="108"/>
      <c r="G87" s="108"/>
      <c r="H87" s="161"/>
      <c r="I87" s="161"/>
      <c r="J87" s="161">
        <f t="shared" si="29"/>
        <v>0</v>
      </c>
      <c r="K87" s="161"/>
      <c r="L87" s="161"/>
      <c r="M87" s="177"/>
      <c r="N87" s="161"/>
      <c r="O87" s="161"/>
      <c r="P87" s="161"/>
      <c r="Q87" s="161"/>
      <c r="R87" s="161"/>
      <c r="S87" s="161"/>
      <c r="T87" s="161"/>
      <c r="U87" s="161"/>
      <c r="V87" s="169"/>
      <c r="W87" s="117"/>
      <c r="X87" s="117"/>
      <c r="Y87" s="117"/>
      <c r="Z87" s="117"/>
    </row>
    <row r="88" spans="1:26" ht="21" hidden="1" customHeight="1">
      <c r="A88" s="308" t="s">
        <v>271</v>
      </c>
      <c r="B88" s="100"/>
      <c r="C88" s="124"/>
      <c r="D88" s="108"/>
      <c r="E88" s="108"/>
      <c r="F88" s="108"/>
      <c r="G88" s="108">
        <f t="shared" ref="G88:G95" si="30">SUM(B88:F88)</f>
        <v>0</v>
      </c>
      <c r="H88" s="161"/>
      <c r="I88" s="161"/>
      <c r="J88" s="161">
        <f t="shared" si="29"/>
        <v>0</v>
      </c>
      <c r="K88" s="161"/>
      <c r="L88" s="161"/>
      <c r="M88" s="177"/>
      <c r="N88" s="161"/>
      <c r="O88" s="161"/>
      <c r="P88" s="161"/>
      <c r="Q88" s="161"/>
      <c r="R88" s="161"/>
      <c r="S88" s="161"/>
      <c r="T88" s="161"/>
      <c r="U88" s="161"/>
      <c r="V88" s="169"/>
      <c r="W88" s="117"/>
      <c r="X88" s="117"/>
      <c r="Y88" s="117"/>
      <c r="Z88" s="117"/>
    </row>
    <row r="89" spans="1:26" ht="21" hidden="1" customHeight="1">
      <c r="A89" s="308" t="s">
        <v>272</v>
      </c>
      <c r="B89" s="100"/>
      <c r="C89" s="124"/>
      <c r="D89" s="108"/>
      <c r="E89" s="108"/>
      <c r="F89" s="108"/>
      <c r="G89" s="108">
        <f t="shared" si="30"/>
        <v>0</v>
      </c>
      <c r="H89" s="161"/>
      <c r="I89" s="161"/>
      <c r="J89" s="161">
        <f t="shared" si="29"/>
        <v>0</v>
      </c>
      <c r="K89" s="161"/>
      <c r="L89" s="161"/>
      <c r="M89" s="177"/>
      <c r="N89" s="161"/>
      <c r="O89" s="161"/>
      <c r="P89" s="161"/>
      <c r="Q89" s="161"/>
      <c r="R89" s="161"/>
      <c r="S89" s="161"/>
      <c r="T89" s="161"/>
      <c r="U89" s="161"/>
      <c r="V89" s="169"/>
      <c r="W89" s="117"/>
      <c r="X89" s="117"/>
      <c r="Y89" s="117"/>
      <c r="Z89" s="117"/>
    </row>
    <row r="90" spans="1:26" ht="21" hidden="1" customHeight="1">
      <c r="A90" s="308" t="s">
        <v>273</v>
      </c>
      <c r="B90" s="100"/>
      <c r="C90" s="124"/>
      <c r="D90" s="108"/>
      <c r="E90" s="108"/>
      <c r="F90" s="108"/>
      <c r="G90" s="108">
        <f t="shared" si="30"/>
        <v>0</v>
      </c>
      <c r="H90" s="161"/>
      <c r="I90" s="161"/>
      <c r="J90" s="161">
        <f t="shared" si="29"/>
        <v>0</v>
      </c>
      <c r="K90" s="161"/>
      <c r="L90" s="161"/>
      <c r="M90" s="177"/>
      <c r="N90" s="161"/>
      <c r="O90" s="161"/>
      <c r="P90" s="161"/>
      <c r="Q90" s="161"/>
      <c r="R90" s="161"/>
      <c r="S90" s="161"/>
      <c r="T90" s="161"/>
      <c r="U90" s="161"/>
      <c r="V90" s="169"/>
      <c r="W90" s="117"/>
      <c r="X90" s="117"/>
      <c r="Y90" s="117"/>
      <c r="Z90" s="117"/>
    </row>
    <row r="91" spans="1:26" ht="21" hidden="1" customHeight="1">
      <c r="A91" s="308" t="s">
        <v>274</v>
      </c>
      <c r="B91" s="100"/>
      <c r="C91" s="124"/>
      <c r="D91" s="108"/>
      <c r="E91" s="108"/>
      <c r="F91" s="108"/>
      <c r="G91" s="108">
        <f t="shared" si="30"/>
        <v>0</v>
      </c>
      <c r="H91" s="161"/>
      <c r="I91" s="161"/>
      <c r="J91" s="161">
        <f t="shared" si="29"/>
        <v>0</v>
      </c>
      <c r="K91" s="161"/>
      <c r="L91" s="161"/>
      <c r="M91" s="177"/>
      <c r="N91" s="161"/>
      <c r="O91" s="161"/>
      <c r="P91" s="161"/>
      <c r="Q91" s="161"/>
      <c r="R91" s="161"/>
      <c r="S91" s="161"/>
      <c r="T91" s="161"/>
      <c r="U91" s="161"/>
      <c r="V91" s="169"/>
      <c r="W91" s="117"/>
      <c r="X91" s="117"/>
      <c r="Y91" s="117"/>
      <c r="Z91" s="117"/>
    </row>
    <row r="92" spans="1:26" s="461" customFormat="1" ht="21" customHeight="1">
      <c r="A92" s="422" t="s">
        <v>38</v>
      </c>
      <c r="B92" s="422">
        <f>30+30</f>
        <v>60</v>
      </c>
      <c r="C92" s="423">
        <f>14+36</f>
        <v>50</v>
      </c>
      <c r="D92" s="424">
        <v>22</v>
      </c>
      <c r="E92" s="424">
        <v>16</v>
      </c>
      <c r="F92" s="424">
        <v>12</v>
      </c>
      <c r="G92" s="424">
        <f t="shared" si="30"/>
        <v>160</v>
      </c>
      <c r="H92" s="187"/>
      <c r="I92" s="187"/>
      <c r="J92" s="187">
        <f t="shared" si="29"/>
        <v>100</v>
      </c>
      <c r="K92" s="187"/>
      <c r="L92" s="187"/>
      <c r="M92" s="188"/>
      <c r="N92" s="187"/>
      <c r="O92" s="187"/>
      <c r="P92" s="187"/>
      <c r="Q92" s="187"/>
      <c r="R92" s="187"/>
      <c r="S92" s="187"/>
      <c r="T92" s="187"/>
      <c r="U92" s="187"/>
      <c r="V92" s="473">
        <v>38</v>
      </c>
      <c r="W92" s="474">
        <v>18</v>
      </c>
      <c r="X92" s="474">
        <v>26</v>
      </c>
      <c r="Y92" s="474">
        <v>32</v>
      </c>
      <c r="Z92" s="474">
        <v>2</v>
      </c>
    </row>
    <row r="93" spans="1:26" s="461" customFormat="1" ht="21" customHeight="1">
      <c r="A93" s="444" t="s">
        <v>18</v>
      </c>
      <c r="B93" s="444">
        <v>49</v>
      </c>
      <c r="C93" s="445">
        <f>14+26</f>
        <v>40</v>
      </c>
      <c r="D93" s="446">
        <f>20+22</f>
        <v>42</v>
      </c>
      <c r="E93" s="446">
        <v>33</v>
      </c>
      <c r="F93" s="446"/>
      <c r="G93" s="424">
        <f t="shared" si="30"/>
        <v>164</v>
      </c>
      <c r="H93" s="187"/>
      <c r="I93" s="187"/>
      <c r="J93" s="187">
        <f t="shared" si="29"/>
        <v>115</v>
      </c>
      <c r="K93" s="187"/>
      <c r="L93" s="187"/>
      <c r="M93" s="188"/>
      <c r="N93" s="187"/>
      <c r="O93" s="187"/>
      <c r="P93" s="187"/>
      <c r="Q93" s="187"/>
      <c r="R93" s="187"/>
      <c r="S93" s="187"/>
      <c r="T93" s="187"/>
      <c r="U93" s="187"/>
      <c r="V93" s="473">
        <v>61</v>
      </c>
      <c r="W93" s="474">
        <v>34</v>
      </c>
      <c r="X93" s="474">
        <v>30</v>
      </c>
      <c r="Y93" s="474">
        <v>15</v>
      </c>
      <c r="Z93" s="474">
        <v>1</v>
      </c>
    </row>
    <row r="94" spans="1:26" ht="21" hidden="1" customHeight="1">
      <c r="A94" s="103" t="s">
        <v>106</v>
      </c>
      <c r="B94" s="103"/>
      <c r="C94" s="125"/>
      <c r="D94" s="111"/>
      <c r="E94" s="111"/>
      <c r="F94" s="111"/>
      <c r="G94" s="108">
        <f t="shared" si="30"/>
        <v>0</v>
      </c>
      <c r="H94" s="161"/>
      <c r="I94" s="161"/>
      <c r="J94" s="161">
        <f t="shared" si="29"/>
        <v>0</v>
      </c>
      <c r="K94" s="161"/>
      <c r="L94" s="161"/>
      <c r="M94" s="177"/>
      <c r="N94" s="161"/>
      <c r="O94" s="161"/>
      <c r="P94" s="161"/>
      <c r="Q94" s="161"/>
      <c r="R94" s="161"/>
      <c r="S94" s="161"/>
      <c r="T94" s="161"/>
      <c r="U94" s="161"/>
      <c r="V94" s="169"/>
      <c r="W94" s="117"/>
      <c r="X94" s="117"/>
      <c r="Y94" s="117"/>
      <c r="Z94" s="117">
        <v>1</v>
      </c>
    </row>
    <row r="95" spans="1:26" s="461" customFormat="1" ht="21" customHeight="1">
      <c r="A95" s="444" t="s">
        <v>169</v>
      </c>
      <c r="B95" s="444">
        <v>62</v>
      </c>
      <c r="C95" s="445">
        <v>13</v>
      </c>
      <c r="D95" s="446">
        <v>22</v>
      </c>
      <c r="E95" s="446"/>
      <c r="F95" s="446"/>
      <c r="G95" s="446">
        <f t="shared" si="30"/>
        <v>97</v>
      </c>
      <c r="H95" s="187"/>
      <c r="I95" s="187"/>
      <c r="J95" s="187">
        <f t="shared" si="29"/>
        <v>35</v>
      </c>
      <c r="K95" s="187"/>
      <c r="L95" s="187"/>
      <c r="M95" s="188"/>
      <c r="N95" s="187"/>
      <c r="O95" s="187"/>
      <c r="P95" s="187"/>
      <c r="Q95" s="187"/>
      <c r="R95" s="187"/>
      <c r="S95" s="187"/>
      <c r="T95" s="187"/>
      <c r="U95" s="187"/>
      <c r="V95" s="473">
        <v>33</v>
      </c>
      <c r="W95" s="474"/>
      <c r="X95" s="474"/>
      <c r="Y95" s="474"/>
      <c r="Z95" s="474"/>
    </row>
    <row r="96" spans="1:26" ht="21" hidden="1" customHeight="1">
      <c r="A96" s="103" t="s">
        <v>120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9"/>
        <v>0</v>
      </c>
      <c r="K96" s="161"/>
      <c r="L96" s="161"/>
      <c r="M96" s="177"/>
      <c r="N96" s="161"/>
      <c r="O96" s="161"/>
      <c r="P96" s="161"/>
      <c r="Q96" s="161"/>
      <c r="R96" s="161"/>
      <c r="S96" s="161"/>
      <c r="T96" s="161"/>
      <c r="U96" s="161"/>
    </row>
    <row r="97" spans="1:26" ht="21" hidden="1" customHeight="1">
      <c r="A97" s="103" t="s">
        <v>107</v>
      </c>
      <c r="B97" s="103"/>
      <c r="C97" s="125"/>
      <c r="D97" s="111"/>
      <c r="E97" s="111"/>
      <c r="F97" s="111"/>
      <c r="G97" s="111"/>
      <c r="H97" s="161"/>
      <c r="I97" s="161"/>
      <c r="J97" s="161">
        <f t="shared" si="29"/>
        <v>0</v>
      </c>
      <c r="K97" s="161"/>
      <c r="L97" s="161"/>
      <c r="M97" s="177"/>
      <c r="N97" s="161"/>
      <c r="O97" s="161"/>
      <c r="P97" s="161"/>
      <c r="Q97" s="161"/>
      <c r="R97" s="161"/>
      <c r="S97" s="161"/>
      <c r="T97" s="161"/>
      <c r="U97" s="161"/>
    </row>
    <row r="98" spans="1:26" ht="21" hidden="1" customHeight="1">
      <c r="A98" s="95" t="s">
        <v>3</v>
      </c>
      <c r="B98" s="95"/>
      <c r="C98" s="121"/>
      <c r="D98" s="106">
        <f>SUM(D80:D97)</f>
        <v>160</v>
      </c>
      <c r="E98" s="106">
        <f>SUM(E80:E97)</f>
        <v>112</v>
      </c>
      <c r="F98" s="106">
        <f>SUM(F80:F97)</f>
        <v>24</v>
      </c>
      <c r="G98" s="106">
        <f>SUM(G80:G97)</f>
        <v>775</v>
      </c>
      <c r="H98" s="160"/>
      <c r="I98" s="160"/>
      <c r="J98" s="161">
        <f t="shared" si="29"/>
        <v>296</v>
      </c>
      <c r="K98" s="160"/>
      <c r="L98" s="160"/>
      <c r="M98" s="176"/>
      <c r="N98" s="160"/>
      <c r="O98" s="160"/>
      <c r="P98" s="160"/>
      <c r="Q98" s="160"/>
      <c r="R98" s="160"/>
      <c r="S98" s="160"/>
      <c r="T98" s="160"/>
      <c r="U98" s="160"/>
    </row>
    <row r="99" spans="1:26" ht="21" customHeight="1">
      <c r="A99" s="101" t="s">
        <v>19</v>
      </c>
      <c r="B99" s="110">
        <f>SUM(B100:B111)</f>
        <v>557</v>
      </c>
      <c r="C99" s="110">
        <f>SUM(C100:C111)</f>
        <v>457</v>
      </c>
      <c r="D99" s="110">
        <f t="shared" ref="D99:G99" si="31">SUM(D100:D111)</f>
        <v>405</v>
      </c>
      <c r="E99" s="110">
        <f t="shared" si="31"/>
        <v>82</v>
      </c>
      <c r="F99" s="110">
        <f>SUM(F100:F111)</f>
        <v>20</v>
      </c>
      <c r="G99" s="110">
        <f t="shared" si="31"/>
        <v>1521</v>
      </c>
      <c r="H99" s="162"/>
      <c r="I99" s="162"/>
      <c r="J99" s="161">
        <f t="shared" si="29"/>
        <v>964</v>
      </c>
      <c r="K99" s="162"/>
      <c r="L99" s="162"/>
      <c r="M99" s="178"/>
      <c r="N99" s="162"/>
      <c r="O99" s="162"/>
      <c r="P99" s="162"/>
      <c r="Q99" s="162"/>
      <c r="R99" s="162"/>
      <c r="S99" s="162"/>
      <c r="T99" s="162"/>
      <c r="U99" s="162"/>
      <c r="V99" s="117">
        <f>SUM(V80:V98)</f>
        <v>251</v>
      </c>
      <c r="W99" s="117">
        <f>SUM(W80:W98)</f>
        <v>117</v>
      </c>
      <c r="X99" s="117">
        <f>SUM(X80:X98)</f>
        <v>144</v>
      </c>
      <c r="Y99" s="117">
        <f>SUM(Y80:Y98)</f>
        <v>83</v>
      </c>
      <c r="Z99" s="117">
        <f>SUM(Z80:Z98)</f>
        <v>7</v>
      </c>
    </row>
    <row r="100" spans="1:26" s="461" customFormat="1" ht="21" customHeight="1">
      <c r="A100" s="441" t="s">
        <v>215</v>
      </c>
      <c r="B100" s="441"/>
      <c r="C100" s="442"/>
      <c r="D100" s="443"/>
      <c r="E100" s="443">
        <v>4</v>
      </c>
      <c r="F100" s="443">
        <v>1</v>
      </c>
      <c r="G100" s="428">
        <f t="shared" ref="G100:G111" si="32">SUM(B100:F100)</f>
        <v>5</v>
      </c>
      <c r="H100" s="187"/>
      <c r="I100" s="187">
        <v>1</v>
      </c>
      <c r="J100" s="187">
        <f t="shared" si="29"/>
        <v>5</v>
      </c>
      <c r="K100" s="187"/>
      <c r="L100" s="187"/>
      <c r="M100" s="188"/>
      <c r="N100" s="187"/>
      <c r="O100" s="187"/>
      <c r="P100" s="187"/>
      <c r="Q100" s="187"/>
      <c r="R100" s="187"/>
      <c r="S100" s="187"/>
      <c r="T100" s="187"/>
      <c r="U100" s="187"/>
      <c r="V100" s="473">
        <v>78</v>
      </c>
      <c r="W100" s="474">
        <v>55</v>
      </c>
      <c r="X100" s="474">
        <v>52</v>
      </c>
      <c r="Y100" s="474">
        <v>29</v>
      </c>
      <c r="Z100" s="474">
        <v>16</v>
      </c>
    </row>
    <row r="101" spans="1:26" ht="21" customHeight="1">
      <c r="A101" s="422" t="s">
        <v>4</v>
      </c>
      <c r="B101" s="422">
        <v>56</v>
      </c>
      <c r="C101" s="423">
        <v>43</v>
      </c>
      <c r="D101" s="424">
        <v>44</v>
      </c>
      <c r="E101" s="424">
        <v>4</v>
      </c>
      <c r="F101" s="424">
        <v>3</v>
      </c>
      <c r="G101" s="424">
        <f t="shared" si="32"/>
        <v>150</v>
      </c>
      <c r="H101" s="161"/>
      <c r="I101" s="161">
        <v>2</v>
      </c>
      <c r="J101" s="161">
        <f t="shared" si="29"/>
        <v>94</v>
      </c>
      <c r="K101" s="161"/>
      <c r="L101" s="161"/>
      <c r="M101" s="177"/>
      <c r="N101" s="161"/>
      <c r="O101" s="161"/>
      <c r="P101" s="161"/>
      <c r="Q101" s="161"/>
      <c r="R101" s="161"/>
      <c r="S101" s="161"/>
      <c r="T101" s="161"/>
      <c r="U101" s="161"/>
      <c r="V101" s="169">
        <v>49</v>
      </c>
      <c r="W101" s="117">
        <v>47</v>
      </c>
      <c r="X101" s="117">
        <v>46</v>
      </c>
      <c r="Y101" s="117">
        <v>40</v>
      </c>
      <c r="Z101" s="117">
        <v>7</v>
      </c>
    </row>
    <row r="102" spans="1:26" ht="21" customHeight="1">
      <c r="A102" s="422" t="s">
        <v>214</v>
      </c>
      <c r="B102" s="422">
        <v>79</v>
      </c>
      <c r="C102" s="423">
        <v>50</v>
      </c>
      <c r="D102" s="424">
        <v>42</v>
      </c>
      <c r="E102" s="424"/>
      <c r="F102" s="424"/>
      <c r="G102" s="424">
        <f t="shared" si="32"/>
        <v>171</v>
      </c>
      <c r="H102" s="161"/>
      <c r="I102" s="161">
        <v>2</v>
      </c>
      <c r="J102" s="161">
        <f t="shared" si="29"/>
        <v>92</v>
      </c>
      <c r="K102" s="161"/>
      <c r="L102" s="161"/>
      <c r="M102" s="177"/>
      <c r="N102" s="161"/>
      <c r="O102" s="161"/>
      <c r="P102" s="161"/>
      <c r="Q102" s="161"/>
      <c r="R102" s="161"/>
      <c r="S102" s="161"/>
      <c r="T102" s="161"/>
      <c r="U102" s="161"/>
      <c r="V102" s="169">
        <v>49</v>
      </c>
      <c r="W102" s="117">
        <v>47</v>
      </c>
      <c r="X102" s="117">
        <v>46</v>
      </c>
      <c r="Y102" s="117">
        <v>40</v>
      </c>
      <c r="Z102" s="117">
        <v>7</v>
      </c>
    </row>
    <row r="103" spans="1:26" ht="21" customHeight="1">
      <c r="A103" s="422" t="s">
        <v>76</v>
      </c>
      <c r="B103" s="422">
        <v>33</v>
      </c>
      <c r="C103" s="423">
        <v>43</v>
      </c>
      <c r="D103" s="424">
        <v>33</v>
      </c>
      <c r="E103" s="424">
        <v>5</v>
      </c>
      <c r="F103" s="424">
        <f>3</f>
        <v>3</v>
      </c>
      <c r="G103" s="424">
        <f t="shared" si="32"/>
        <v>117</v>
      </c>
      <c r="H103" s="161"/>
      <c r="I103" s="161">
        <v>3</v>
      </c>
      <c r="J103" s="161">
        <f t="shared" si="29"/>
        <v>84</v>
      </c>
      <c r="K103" s="161"/>
      <c r="L103" s="161"/>
      <c r="M103" s="177"/>
      <c r="N103" s="161"/>
      <c r="O103" s="161"/>
      <c r="P103" s="161"/>
      <c r="Q103" s="161"/>
      <c r="R103" s="161"/>
      <c r="S103" s="161"/>
      <c r="T103" s="161"/>
      <c r="U103" s="161"/>
      <c r="V103" s="169">
        <v>40</v>
      </c>
      <c r="W103" s="117">
        <v>38</v>
      </c>
      <c r="X103" s="117">
        <v>61</v>
      </c>
      <c r="Y103" s="117">
        <v>38</v>
      </c>
      <c r="Z103" s="117"/>
    </row>
    <row r="104" spans="1:26" ht="21" customHeight="1">
      <c r="A104" s="422" t="s">
        <v>21</v>
      </c>
      <c r="B104" s="422">
        <v>49</v>
      </c>
      <c r="C104" s="423">
        <v>29</v>
      </c>
      <c r="D104" s="424">
        <v>40</v>
      </c>
      <c r="E104" s="424"/>
      <c r="F104" s="424">
        <v>1</v>
      </c>
      <c r="G104" s="424">
        <f t="shared" si="32"/>
        <v>119</v>
      </c>
      <c r="H104" s="161"/>
      <c r="I104" s="161">
        <v>4</v>
      </c>
      <c r="J104" s="161">
        <f t="shared" si="29"/>
        <v>70</v>
      </c>
      <c r="K104" s="161"/>
      <c r="L104" s="161"/>
      <c r="M104" s="177"/>
      <c r="N104" s="161"/>
      <c r="O104" s="161"/>
      <c r="P104" s="161"/>
      <c r="Q104" s="161"/>
      <c r="R104" s="161"/>
      <c r="S104" s="161"/>
      <c r="T104" s="161"/>
      <c r="U104" s="161"/>
      <c r="V104" s="169">
        <v>49</v>
      </c>
      <c r="W104" s="117"/>
      <c r="X104" s="117">
        <v>42</v>
      </c>
      <c r="Y104" s="117"/>
      <c r="Z104" s="117">
        <v>2</v>
      </c>
    </row>
    <row r="105" spans="1:26" ht="21" customHeight="1">
      <c r="A105" s="422" t="s">
        <v>22</v>
      </c>
      <c r="B105" s="422">
        <v>51</v>
      </c>
      <c r="C105" s="423">
        <v>77</v>
      </c>
      <c r="D105" s="424">
        <v>75</v>
      </c>
      <c r="E105" s="424">
        <v>5</v>
      </c>
      <c r="F105" s="424">
        <v>2</v>
      </c>
      <c r="G105" s="424">
        <f t="shared" si="32"/>
        <v>210</v>
      </c>
      <c r="H105" s="161"/>
      <c r="I105" s="161">
        <v>5</v>
      </c>
      <c r="J105" s="161">
        <f t="shared" si="29"/>
        <v>159</v>
      </c>
      <c r="K105" s="161"/>
      <c r="L105" s="161"/>
      <c r="M105" s="177"/>
      <c r="N105" s="161"/>
      <c r="O105" s="161"/>
      <c r="P105" s="161"/>
      <c r="Q105" s="161"/>
      <c r="R105" s="161"/>
      <c r="S105" s="161"/>
      <c r="T105" s="161"/>
      <c r="U105" s="161"/>
      <c r="V105" s="169">
        <v>104</v>
      </c>
      <c r="W105" s="117">
        <v>41</v>
      </c>
      <c r="X105" s="117">
        <v>47</v>
      </c>
      <c r="Y105" s="117">
        <v>36</v>
      </c>
      <c r="Z105" s="117">
        <v>11</v>
      </c>
    </row>
    <row r="106" spans="1:26" ht="21" customHeight="1">
      <c r="A106" s="422" t="s">
        <v>81</v>
      </c>
      <c r="B106" s="422">
        <v>47</v>
      </c>
      <c r="C106" s="423">
        <v>31</v>
      </c>
      <c r="D106" s="424">
        <v>21</v>
      </c>
      <c r="E106" s="424">
        <v>16</v>
      </c>
      <c r="F106" s="424">
        <v>6</v>
      </c>
      <c r="G106" s="424">
        <f t="shared" si="32"/>
        <v>121</v>
      </c>
      <c r="H106" s="161"/>
      <c r="I106" s="161">
        <v>6</v>
      </c>
      <c r="J106" s="161">
        <f t="shared" si="29"/>
        <v>74</v>
      </c>
      <c r="K106" s="161"/>
      <c r="L106" s="161"/>
      <c r="M106" s="177"/>
      <c r="N106" s="161"/>
      <c r="O106" s="161"/>
      <c r="P106" s="161"/>
      <c r="Q106" s="161"/>
      <c r="R106" s="161"/>
      <c r="S106" s="161"/>
      <c r="T106" s="161"/>
      <c r="U106" s="161"/>
      <c r="V106" s="169">
        <v>44</v>
      </c>
      <c r="W106" s="117">
        <v>28</v>
      </c>
      <c r="X106" s="117">
        <v>23</v>
      </c>
      <c r="Y106" s="117">
        <v>21</v>
      </c>
      <c r="Z106" s="117"/>
    </row>
    <row r="107" spans="1:26" ht="21" customHeight="1">
      <c r="A107" s="422" t="s">
        <v>24</v>
      </c>
      <c r="B107" s="422">
        <v>53</v>
      </c>
      <c r="C107" s="423">
        <f>30+43</f>
        <v>73</v>
      </c>
      <c r="D107" s="424"/>
      <c r="E107" s="424">
        <v>29</v>
      </c>
      <c r="F107" s="424">
        <f>1</f>
        <v>1</v>
      </c>
      <c r="G107" s="424">
        <f t="shared" si="32"/>
        <v>156</v>
      </c>
      <c r="H107" s="161"/>
      <c r="I107" s="161">
        <v>7</v>
      </c>
      <c r="J107" s="161">
        <f t="shared" si="29"/>
        <v>103</v>
      </c>
      <c r="K107" s="161"/>
      <c r="L107" s="161"/>
      <c r="M107" s="177"/>
      <c r="N107" s="161"/>
      <c r="O107" s="161"/>
      <c r="P107" s="161"/>
      <c r="Q107" s="161"/>
      <c r="R107" s="161"/>
      <c r="S107" s="161"/>
      <c r="T107" s="161"/>
      <c r="U107" s="161"/>
      <c r="V107" s="169"/>
      <c r="W107" s="117">
        <v>33</v>
      </c>
      <c r="X107" s="117">
        <v>41</v>
      </c>
      <c r="Y107" s="117">
        <v>36</v>
      </c>
      <c r="Z107" s="117">
        <v>3</v>
      </c>
    </row>
    <row r="108" spans="1:26" s="461" customFormat="1" ht="21" customHeight="1">
      <c r="A108" s="100" t="s">
        <v>299</v>
      </c>
      <c r="B108" s="422">
        <v>18</v>
      </c>
      <c r="C108" s="124"/>
      <c r="D108" s="108"/>
      <c r="E108" s="440">
        <v>14</v>
      </c>
      <c r="F108" s="440">
        <v>3</v>
      </c>
      <c r="G108" s="108">
        <f t="shared" si="32"/>
        <v>35</v>
      </c>
      <c r="H108" s="187"/>
      <c r="I108" s="187">
        <v>8</v>
      </c>
      <c r="J108" s="187">
        <f t="shared" si="29"/>
        <v>17</v>
      </c>
      <c r="K108" s="187"/>
      <c r="L108" s="187"/>
      <c r="M108" s="188" t="s">
        <v>295</v>
      </c>
      <c r="N108" s="187"/>
      <c r="O108" s="187"/>
      <c r="P108" s="187"/>
      <c r="Q108" s="187"/>
      <c r="R108" s="187"/>
      <c r="S108" s="187"/>
      <c r="T108" s="187"/>
      <c r="U108" s="187"/>
      <c r="V108" s="473"/>
      <c r="W108" s="474">
        <v>22</v>
      </c>
      <c r="X108" s="474">
        <v>30</v>
      </c>
      <c r="Y108" s="474">
        <v>9</v>
      </c>
      <c r="Z108" s="474"/>
    </row>
    <row r="109" spans="1:26" ht="21" customHeight="1">
      <c r="A109" s="422" t="s">
        <v>168</v>
      </c>
      <c r="B109" s="422">
        <v>59</v>
      </c>
      <c r="C109" s="423">
        <v>67</v>
      </c>
      <c r="D109" s="424">
        <v>73</v>
      </c>
      <c r="E109" s="424"/>
      <c r="F109" s="424"/>
      <c r="G109" s="424">
        <f t="shared" si="32"/>
        <v>199</v>
      </c>
      <c r="H109" s="161"/>
      <c r="I109" s="161">
        <v>9</v>
      </c>
      <c r="J109" s="161">
        <f t="shared" si="29"/>
        <v>140</v>
      </c>
      <c r="K109" s="161"/>
      <c r="L109" s="161"/>
      <c r="M109" s="177"/>
      <c r="N109" s="161"/>
      <c r="O109" s="161"/>
      <c r="P109" s="161"/>
      <c r="Q109" s="161"/>
      <c r="R109" s="161"/>
      <c r="S109" s="161"/>
      <c r="T109" s="161"/>
      <c r="U109" s="161"/>
      <c r="V109" s="169">
        <v>82</v>
      </c>
      <c r="W109" s="117"/>
      <c r="X109" s="117"/>
      <c r="Y109" s="117"/>
      <c r="Z109" s="117"/>
    </row>
    <row r="110" spans="1:26" s="461" customFormat="1" ht="21" customHeight="1">
      <c r="A110" s="422" t="s">
        <v>275</v>
      </c>
      <c r="B110" s="422">
        <v>52</v>
      </c>
      <c r="C110" s="423"/>
      <c r="D110" s="424"/>
      <c r="E110" s="424"/>
      <c r="F110" s="424"/>
      <c r="G110" s="424">
        <f t="shared" si="32"/>
        <v>52</v>
      </c>
      <c r="H110" s="187"/>
      <c r="I110" s="187">
        <v>9</v>
      </c>
      <c r="J110" s="187">
        <f t="shared" si="29"/>
        <v>0</v>
      </c>
      <c r="K110" s="187"/>
      <c r="L110" s="187"/>
      <c r="M110" s="188"/>
      <c r="N110" s="187"/>
      <c r="O110" s="187"/>
      <c r="P110" s="187"/>
      <c r="Q110" s="187"/>
      <c r="R110" s="187"/>
      <c r="S110" s="187"/>
      <c r="T110" s="187"/>
      <c r="U110" s="187"/>
      <c r="V110" s="473">
        <v>82</v>
      </c>
      <c r="W110" s="474"/>
      <c r="X110" s="474"/>
      <c r="Y110" s="474"/>
      <c r="Z110" s="474"/>
    </row>
    <row r="111" spans="1:26" ht="21" customHeight="1">
      <c r="A111" s="444" t="s">
        <v>25</v>
      </c>
      <c r="B111" s="444">
        <v>60</v>
      </c>
      <c r="C111" s="445">
        <v>44</v>
      </c>
      <c r="D111" s="446">
        <f>50+27</f>
        <v>77</v>
      </c>
      <c r="E111" s="446">
        <v>5</v>
      </c>
      <c r="F111" s="446"/>
      <c r="G111" s="443">
        <f t="shared" si="32"/>
        <v>186</v>
      </c>
      <c r="H111" s="161"/>
      <c r="I111" s="161">
        <v>10</v>
      </c>
      <c r="J111" s="161">
        <f t="shared" si="29"/>
        <v>126</v>
      </c>
      <c r="K111" s="161"/>
      <c r="L111" s="161"/>
      <c r="M111" s="177"/>
      <c r="N111" s="161"/>
      <c r="O111" s="161"/>
      <c r="P111" s="161"/>
      <c r="Q111" s="161"/>
      <c r="R111" s="161"/>
      <c r="S111" s="161"/>
      <c r="T111" s="161"/>
      <c r="U111" s="161"/>
      <c r="V111" s="169">
        <v>97</v>
      </c>
      <c r="W111" s="117">
        <v>49</v>
      </c>
      <c r="X111" s="117">
        <v>43</v>
      </c>
      <c r="Y111" s="117">
        <v>52</v>
      </c>
      <c r="Z111" s="117">
        <v>5</v>
      </c>
    </row>
    <row r="112" spans="1:26" ht="21" customHeight="1">
      <c r="A112" s="95" t="s">
        <v>3</v>
      </c>
      <c r="B112" s="106">
        <f>SUM(B100:B111)</f>
        <v>557</v>
      </c>
      <c r="C112" s="106">
        <f>SUM(C100:C111)</f>
        <v>457</v>
      </c>
      <c r="D112" s="106">
        <f t="shared" ref="D112:E112" si="33">SUM(D100:D111)</f>
        <v>405</v>
      </c>
      <c r="E112" s="106">
        <f t="shared" si="33"/>
        <v>82</v>
      </c>
      <c r="F112" s="106">
        <f>SUM(F100:F111)</f>
        <v>20</v>
      </c>
      <c r="G112" s="106">
        <f>SUM(G100:G111)</f>
        <v>1521</v>
      </c>
      <c r="H112" s="160"/>
      <c r="I112" s="160"/>
      <c r="J112" s="160"/>
      <c r="K112" s="160"/>
      <c r="L112" s="160"/>
      <c r="M112" s="176"/>
      <c r="N112" s="160">
        <f>37+11+5+6</f>
        <v>59</v>
      </c>
      <c r="O112" s="160"/>
      <c r="P112" s="160"/>
      <c r="Q112" s="160"/>
      <c r="R112" s="160"/>
      <c r="S112" s="160"/>
      <c r="T112" s="160"/>
      <c r="U112" s="160"/>
      <c r="V112" s="169">
        <f>SUM(V100:V111)</f>
        <v>674</v>
      </c>
      <c r="W112" s="117">
        <f>SUM(W100:W111)</f>
        <v>360</v>
      </c>
      <c r="X112" s="117">
        <f>SUM(X100:X111)</f>
        <v>431</v>
      </c>
      <c r="Y112" s="117">
        <f>SUM(Y100:Y111)</f>
        <v>301</v>
      </c>
      <c r="Z112" s="117">
        <f>SUM(Z100:Z111)</f>
        <v>51</v>
      </c>
    </row>
    <row r="113" spans="1:27" ht="21" customHeight="1">
      <c r="A113" s="101" t="s">
        <v>26</v>
      </c>
      <c r="B113" s="110">
        <f t="shared" ref="B113:G113" si="34">SUM(B125,B131,B135)</f>
        <v>820</v>
      </c>
      <c r="C113" s="110">
        <f t="shared" si="34"/>
        <v>602</v>
      </c>
      <c r="D113" s="110">
        <f t="shared" si="34"/>
        <v>504</v>
      </c>
      <c r="E113" s="110">
        <f t="shared" si="34"/>
        <v>76</v>
      </c>
      <c r="F113" s="110">
        <f t="shared" si="34"/>
        <v>12</v>
      </c>
      <c r="G113" s="110">
        <f t="shared" si="34"/>
        <v>2005</v>
      </c>
      <c r="H113" s="162">
        <f>G113-4</f>
        <v>2001</v>
      </c>
      <c r="I113" s="162"/>
      <c r="J113" s="162"/>
      <c r="K113" s="162">
        <f>1981-2</f>
        <v>1979</v>
      </c>
      <c r="L113" s="162"/>
      <c r="M113" s="178"/>
      <c r="N113" s="162"/>
      <c r="O113" s="162"/>
      <c r="P113" s="162"/>
      <c r="Q113" s="162"/>
      <c r="R113" s="162"/>
      <c r="S113" s="162"/>
      <c r="T113" s="162"/>
      <c r="U113" s="162"/>
      <c r="X113" s="117"/>
    </row>
    <row r="114" spans="1:27" s="461" customFormat="1" ht="21" customHeight="1">
      <c r="A114" s="426" t="s">
        <v>239</v>
      </c>
      <c r="B114" s="426">
        <v>38</v>
      </c>
      <c r="C114" s="427">
        <v>32</v>
      </c>
      <c r="D114" s="428"/>
      <c r="E114" s="428"/>
      <c r="F114" s="428"/>
      <c r="G114" s="428">
        <f t="shared" ref="G114:G124" si="35">SUM(B114:F114)</f>
        <v>70</v>
      </c>
      <c r="H114" s="187"/>
      <c r="I114" s="187"/>
      <c r="J114" s="187">
        <f t="shared" ref="J114:J124" si="36">SUM(C114:F114)</f>
        <v>32</v>
      </c>
      <c r="K114" s="187"/>
      <c r="L114" s="187"/>
      <c r="M114" s="188"/>
      <c r="N114" s="187"/>
      <c r="O114" s="187"/>
      <c r="P114" s="187"/>
      <c r="Q114" s="187"/>
      <c r="R114" s="187"/>
      <c r="S114" s="187"/>
      <c r="T114" s="187"/>
      <c r="U114" s="187"/>
      <c r="V114" s="473">
        <v>47</v>
      </c>
      <c r="W114" s="474">
        <v>23</v>
      </c>
      <c r="X114" s="474">
        <v>27</v>
      </c>
      <c r="Y114" s="474">
        <v>17</v>
      </c>
      <c r="Z114" s="474"/>
    </row>
    <row r="115" spans="1:27" s="461" customFormat="1" ht="21" customHeight="1">
      <c r="A115" s="426" t="s">
        <v>79</v>
      </c>
      <c r="B115" s="426">
        <v>32</v>
      </c>
      <c r="C115" s="427">
        <v>31</v>
      </c>
      <c r="D115" s="428">
        <v>31</v>
      </c>
      <c r="E115" s="428">
        <v>9</v>
      </c>
      <c r="F115" s="428"/>
      <c r="G115" s="428">
        <f t="shared" si="35"/>
        <v>103</v>
      </c>
      <c r="H115" s="187"/>
      <c r="I115" s="187"/>
      <c r="J115" s="187">
        <f t="shared" si="36"/>
        <v>71</v>
      </c>
      <c r="K115" s="187"/>
      <c r="L115" s="187"/>
      <c r="M115" s="188"/>
      <c r="N115" s="187"/>
      <c r="O115" s="187"/>
      <c r="P115" s="187"/>
      <c r="Q115" s="187"/>
      <c r="R115" s="187"/>
      <c r="S115" s="187"/>
      <c r="T115" s="187"/>
      <c r="U115" s="187"/>
      <c r="V115" s="473">
        <v>47</v>
      </c>
      <c r="W115" s="474">
        <v>23</v>
      </c>
      <c r="X115" s="474">
        <v>27</v>
      </c>
      <c r="Y115" s="474">
        <v>17</v>
      </c>
      <c r="Z115" s="474"/>
    </row>
    <row r="116" spans="1:27" s="461" customFormat="1" ht="21" customHeight="1">
      <c r="A116" s="422" t="s">
        <v>80</v>
      </c>
      <c r="B116" s="422">
        <v>209</v>
      </c>
      <c r="C116" s="423">
        <v>130</v>
      </c>
      <c r="D116" s="424">
        <f>40+43+52+45</f>
        <v>180</v>
      </c>
      <c r="E116" s="424">
        <v>7</v>
      </c>
      <c r="F116" s="424">
        <v>4</v>
      </c>
      <c r="G116" s="428">
        <f t="shared" si="35"/>
        <v>530</v>
      </c>
      <c r="H116" s="187"/>
      <c r="I116" s="187"/>
      <c r="J116" s="187">
        <f t="shared" si="36"/>
        <v>321</v>
      </c>
      <c r="K116" s="187"/>
      <c r="L116" s="187"/>
      <c r="M116" s="188"/>
      <c r="N116" s="187"/>
      <c r="O116" s="187"/>
      <c r="P116" s="187"/>
      <c r="Q116" s="187"/>
      <c r="R116" s="187"/>
      <c r="S116" s="187"/>
      <c r="T116" s="187"/>
      <c r="U116" s="187"/>
      <c r="V116" s="473">
        <v>228</v>
      </c>
      <c r="W116" s="474">
        <v>110</v>
      </c>
      <c r="X116" s="474">
        <v>123</v>
      </c>
      <c r="Y116" s="474">
        <v>93</v>
      </c>
      <c r="Z116" s="474"/>
    </row>
    <row r="117" spans="1:27" s="461" customFormat="1" ht="21" customHeight="1">
      <c r="A117" s="422" t="s">
        <v>30</v>
      </c>
      <c r="B117" s="422">
        <v>46</v>
      </c>
      <c r="C117" s="423">
        <v>39</v>
      </c>
      <c r="D117" s="424">
        <v>42</v>
      </c>
      <c r="E117" s="424">
        <v>10</v>
      </c>
      <c r="F117" s="424">
        <v>4</v>
      </c>
      <c r="G117" s="428">
        <f t="shared" si="35"/>
        <v>141</v>
      </c>
      <c r="H117" s="187"/>
      <c r="I117" s="187"/>
      <c r="J117" s="187">
        <f t="shared" si="36"/>
        <v>95</v>
      </c>
      <c r="K117" s="187"/>
      <c r="L117" s="187"/>
      <c r="M117" s="188"/>
      <c r="N117" s="187"/>
      <c r="O117" s="187"/>
      <c r="P117" s="187"/>
      <c r="Q117" s="187"/>
      <c r="R117" s="187"/>
      <c r="S117" s="187"/>
      <c r="T117" s="187"/>
      <c r="U117" s="187"/>
      <c r="V117" s="473">
        <v>55</v>
      </c>
      <c r="W117" s="474">
        <v>51</v>
      </c>
      <c r="X117" s="474">
        <v>30</v>
      </c>
      <c r="Y117" s="474">
        <v>22</v>
      </c>
      <c r="Z117" s="474">
        <v>10</v>
      </c>
    </row>
    <row r="118" spans="1:27" s="461" customFormat="1" ht="21" customHeight="1">
      <c r="A118" s="422" t="s">
        <v>31</v>
      </c>
      <c r="B118" s="422">
        <v>50</v>
      </c>
      <c r="C118" s="423">
        <v>55</v>
      </c>
      <c r="D118" s="424">
        <v>67</v>
      </c>
      <c r="E118" s="424">
        <v>7</v>
      </c>
      <c r="F118" s="424">
        <v>1</v>
      </c>
      <c r="G118" s="428">
        <f t="shared" si="35"/>
        <v>180</v>
      </c>
      <c r="H118" s="187"/>
      <c r="I118" s="187"/>
      <c r="J118" s="187">
        <f t="shared" si="36"/>
        <v>130</v>
      </c>
      <c r="K118" s="187"/>
      <c r="L118" s="187"/>
      <c r="M118" s="188"/>
      <c r="N118" s="187"/>
      <c r="O118" s="187"/>
      <c r="P118" s="187"/>
      <c r="Q118" s="187"/>
      <c r="R118" s="187"/>
      <c r="S118" s="187"/>
      <c r="T118" s="187"/>
      <c r="U118" s="187"/>
      <c r="V118" s="473">
        <v>91</v>
      </c>
      <c r="W118" s="474">
        <v>72</v>
      </c>
      <c r="X118" s="474">
        <v>42</v>
      </c>
      <c r="Y118" s="474">
        <v>50</v>
      </c>
      <c r="Z118" s="474">
        <v>7</v>
      </c>
    </row>
    <row r="119" spans="1:27" s="461" customFormat="1" ht="21" customHeight="1">
      <c r="A119" s="422" t="s">
        <v>32</v>
      </c>
      <c r="B119" s="422">
        <v>50</v>
      </c>
      <c r="C119" s="423">
        <v>67</v>
      </c>
      <c r="D119" s="424">
        <v>34</v>
      </c>
      <c r="E119" s="424">
        <v>13</v>
      </c>
      <c r="F119" s="424">
        <v>2</v>
      </c>
      <c r="G119" s="428">
        <f t="shared" si="35"/>
        <v>166</v>
      </c>
      <c r="H119" s="187"/>
      <c r="I119" s="187"/>
      <c r="J119" s="187">
        <f t="shared" si="36"/>
        <v>116</v>
      </c>
      <c r="K119" s="187"/>
      <c r="L119" s="187"/>
      <c r="M119" s="188"/>
      <c r="N119" s="187"/>
      <c r="O119" s="187"/>
      <c r="P119" s="187"/>
      <c r="Q119" s="187"/>
      <c r="R119" s="187"/>
      <c r="S119" s="187"/>
      <c r="T119" s="187"/>
      <c r="U119" s="187"/>
      <c r="V119" s="473">
        <v>48</v>
      </c>
      <c r="W119" s="474">
        <v>41</v>
      </c>
      <c r="X119" s="474">
        <v>24</v>
      </c>
      <c r="Y119" s="474">
        <v>21</v>
      </c>
      <c r="Z119" s="474">
        <v>13</v>
      </c>
    </row>
    <row r="120" spans="1:27" ht="21" hidden="1" customHeight="1">
      <c r="A120" s="100" t="s">
        <v>117</v>
      </c>
      <c r="B120" s="100"/>
      <c r="C120" s="124"/>
      <c r="D120" s="108"/>
      <c r="E120" s="108"/>
      <c r="F120" s="108"/>
      <c r="G120" s="109">
        <f t="shared" si="35"/>
        <v>0</v>
      </c>
      <c r="H120" s="161"/>
      <c r="I120" s="161"/>
      <c r="J120" s="161">
        <f t="shared" si="36"/>
        <v>0</v>
      </c>
      <c r="K120" s="161"/>
      <c r="L120" s="161"/>
      <c r="M120" s="177"/>
      <c r="N120" s="161"/>
      <c r="O120" s="161"/>
      <c r="P120" s="161"/>
      <c r="Q120" s="161"/>
      <c r="R120" s="161"/>
      <c r="S120" s="161"/>
      <c r="T120" s="161"/>
      <c r="U120" s="161"/>
      <c r="V120" s="169"/>
      <c r="W120" s="117"/>
      <c r="X120" s="117"/>
      <c r="Y120" s="117"/>
      <c r="Z120" s="117"/>
    </row>
    <row r="121" spans="1:27" s="461" customFormat="1" ht="21" customHeight="1">
      <c r="A121" s="422" t="s">
        <v>33</v>
      </c>
      <c r="B121" s="422">
        <v>33</v>
      </c>
      <c r="C121" s="423">
        <v>34</v>
      </c>
      <c r="D121" s="424">
        <v>46</v>
      </c>
      <c r="E121" s="424">
        <v>11</v>
      </c>
      <c r="F121" s="424"/>
      <c r="G121" s="428">
        <f t="shared" si="35"/>
        <v>124</v>
      </c>
      <c r="H121" s="187"/>
      <c r="I121" s="187"/>
      <c r="J121" s="187">
        <f t="shared" si="36"/>
        <v>91</v>
      </c>
      <c r="K121" s="187"/>
      <c r="L121" s="187"/>
      <c r="M121" s="188">
        <f>G121+G128</f>
        <v>180</v>
      </c>
      <c r="N121" s="187">
        <f>G121+G128</f>
        <v>180</v>
      </c>
      <c r="O121" s="187"/>
      <c r="P121" s="187"/>
      <c r="Q121" s="187"/>
      <c r="R121" s="187"/>
      <c r="S121" s="187"/>
      <c r="T121" s="187"/>
      <c r="U121" s="187"/>
      <c r="V121" s="473">
        <v>49</v>
      </c>
      <c r="W121" s="474">
        <v>56</v>
      </c>
      <c r="X121" s="474">
        <v>36</v>
      </c>
      <c r="Y121" s="474">
        <v>60</v>
      </c>
      <c r="Z121" s="474">
        <v>7</v>
      </c>
      <c r="AA121" s="474"/>
    </row>
    <row r="122" spans="1:27" s="461" customFormat="1" ht="21" customHeight="1">
      <c r="A122" s="422" t="s">
        <v>133</v>
      </c>
      <c r="B122" s="422">
        <v>53</v>
      </c>
      <c r="C122" s="447">
        <v>30</v>
      </c>
      <c r="D122" s="424"/>
      <c r="E122" s="424">
        <v>3</v>
      </c>
      <c r="F122" s="424"/>
      <c r="G122" s="428">
        <f t="shared" si="35"/>
        <v>86</v>
      </c>
      <c r="H122" s="187"/>
      <c r="I122" s="187"/>
      <c r="J122" s="187">
        <f t="shared" si="36"/>
        <v>33</v>
      </c>
      <c r="K122" s="187">
        <f>83+38</f>
        <v>121</v>
      </c>
      <c r="L122" s="187"/>
      <c r="M122" s="188"/>
      <c r="N122" s="187"/>
      <c r="O122" s="187"/>
      <c r="P122" s="187"/>
      <c r="Q122" s="187"/>
      <c r="R122" s="187"/>
      <c r="S122" s="187"/>
      <c r="T122" s="187"/>
      <c r="U122" s="187"/>
      <c r="V122" s="473"/>
      <c r="W122" s="474">
        <v>31</v>
      </c>
      <c r="X122" s="474"/>
      <c r="Y122" s="474"/>
      <c r="Z122" s="474"/>
      <c r="AA122" s="474"/>
    </row>
    <row r="123" spans="1:27" s="461" customFormat="1" ht="21" customHeight="1">
      <c r="A123" s="422" t="s">
        <v>240</v>
      </c>
      <c r="B123" s="422">
        <v>86</v>
      </c>
      <c r="C123" s="423">
        <f>37+7</f>
        <v>44</v>
      </c>
      <c r="D123" s="424">
        <v>72</v>
      </c>
      <c r="E123" s="424">
        <v>7</v>
      </c>
      <c r="F123" s="424"/>
      <c r="G123" s="428">
        <f t="shared" si="35"/>
        <v>209</v>
      </c>
      <c r="H123" s="187"/>
      <c r="I123" s="187"/>
      <c r="J123" s="187">
        <f t="shared" si="36"/>
        <v>123</v>
      </c>
      <c r="K123" s="187"/>
      <c r="L123" s="187"/>
      <c r="M123" s="188">
        <f>G123+G127</f>
        <v>303</v>
      </c>
      <c r="N123" s="187">
        <f>B123+B127</f>
        <v>149</v>
      </c>
      <c r="O123" s="187"/>
      <c r="P123" s="187"/>
      <c r="Q123" s="187"/>
      <c r="R123" s="187"/>
      <c r="S123" s="187"/>
      <c r="T123" s="187"/>
      <c r="U123" s="187"/>
      <c r="V123" s="473">
        <v>116</v>
      </c>
      <c r="W123" s="474">
        <v>51</v>
      </c>
      <c r="X123" s="474"/>
      <c r="Y123" s="474"/>
      <c r="Z123" s="474"/>
      <c r="AA123" s="474"/>
    </row>
    <row r="124" spans="1:27" s="461" customFormat="1" ht="21" customHeight="1">
      <c r="A124" s="422" t="s">
        <v>34</v>
      </c>
      <c r="B124" s="422">
        <v>68</v>
      </c>
      <c r="C124" s="423">
        <v>34</v>
      </c>
      <c r="D124" s="424">
        <v>32</v>
      </c>
      <c r="E124" s="424">
        <v>9</v>
      </c>
      <c r="F124" s="424">
        <v>1</v>
      </c>
      <c r="G124" s="424">
        <f t="shared" si="35"/>
        <v>144</v>
      </c>
      <c r="H124" s="187"/>
      <c r="I124" s="187"/>
      <c r="J124" s="187">
        <f t="shared" si="36"/>
        <v>76</v>
      </c>
      <c r="K124" s="187"/>
      <c r="L124" s="187"/>
      <c r="M124" s="188">
        <f>B123+B127</f>
        <v>149</v>
      </c>
      <c r="N124" s="187">
        <f>C123+C127</f>
        <v>75</v>
      </c>
      <c r="O124" s="187"/>
      <c r="P124" s="187"/>
      <c r="Q124" s="187"/>
      <c r="R124" s="187"/>
      <c r="S124" s="187"/>
      <c r="T124" s="187"/>
      <c r="U124" s="187"/>
      <c r="V124" s="473">
        <v>42</v>
      </c>
      <c r="W124" s="474">
        <v>40</v>
      </c>
      <c r="X124" s="474">
        <v>77</v>
      </c>
      <c r="Y124" s="474">
        <v>61</v>
      </c>
      <c r="Z124" s="474">
        <v>5</v>
      </c>
      <c r="AA124" s="474"/>
    </row>
    <row r="125" spans="1:27" ht="21" customHeight="1">
      <c r="A125" s="118" t="s">
        <v>161</v>
      </c>
      <c r="B125" s="110">
        <f t="shared" ref="B125:G125" si="37">SUM(B114:B124)</f>
        <v>665</v>
      </c>
      <c r="C125" s="110">
        <f t="shared" si="37"/>
        <v>496</v>
      </c>
      <c r="D125" s="110">
        <f t="shared" si="37"/>
        <v>504</v>
      </c>
      <c r="E125" s="110">
        <f t="shared" si="37"/>
        <v>76</v>
      </c>
      <c r="F125" s="110">
        <f t="shared" si="37"/>
        <v>12</v>
      </c>
      <c r="G125" s="110">
        <f t="shared" si="37"/>
        <v>1753</v>
      </c>
      <c r="H125" s="162"/>
      <c r="I125" s="162"/>
      <c r="J125" s="162"/>
      <c r="K125" s="162"/>
      <c r="L125" s="162"/>
      <c r="M125" s="178">
        <f>C123+C127</f>
        <v>75</v>
      </c>
      <c r="N125" s="162"/>
      <c r="O125" s="162"/>
      <c r="P125" s="162"/>
      <c r="Q125" s="162"/>
      <c r="R125" s="162"/>
      <c r="S125" s="162"/>
      <c r="T125" s="162"/>
      <c r="U125" s="162"/>
      <c r="V125" s="117">
        <f>SUM(V114:V124)</f>
        <v>723</v>
      </c>
      <c r="W125" s="117">
        <f>SUM(W114:W124)</f>
        <v>498</v>
      </c>
      <c r="X125" s="117">
        <f>SUM(X114:X124)</f>
        <v>386</v>
      </c>
      <c r="Y125" s="117">
        <f>SUM(Y114:Y124)</f>
        <v>341</v>
      </c>
      <c r="Z125" s="117">
        <f>SUM(Z114:Z124)</f>
        <v>42</v>
      </c>
    </row>
    <row r="126" spans="1:27" ht="21" customHeight="1">
      <c r="A126" s="99" t="s">
        <v>27</v>
      </c>
      <c r="B126" s="99"/>
      <c r="C126" s="123"/>
      <c r="D126" s="109"/>
      <c r="E126" s="109"/>
      <c r="F126" s="109"/>
      <c r="G126" s="109">
        <f>SUM(B126:F126)</f>
        <v>0</v>
      </c>
      <c r="H126" s="161"/>
      <c r="I126" s="161"/>
      <c r="J126" s="161">
        <f>SUM(C126:F126)</f>
        <v>0</v>
      </c>
      <c r="K126" s="161"/>
      <c r="L126" s="161"/>
      <c r="M126" s="177"/>
      <c r="N126" s="161">
        <f>B124+B130</f>
        <v>125</v>
      </c>
      <c r="O126" s="161">
        <f>C130+C124</f>
        <v>79</v>
      </c>
      <c r="P126" s="161"/>
      <c r="Q126" s="161"/>
      <c r="R126" s="161"/>
      <c r="S126" s="161"/>
      <c r="T126" s="161"/>
      <c r="U126" s="161"/>
      <c r="V126" s="169">
        <v>24</v>
      </c>
      <c r="W126" s="117">
        <v>44</v>
      </c>
      <c r="X126" s="117">
        <v>12</v>
      </c>
      <c r="Y126" s="117"/>
      <c r="Z126" s="117"/>
    </row>
    <row r="127" spans="1:27" s="461" customFormat="1" ht="21" customHeight="1">
      <c r="A127" s="422" t="s">
        <v>154</v>
      </c>
      <c r="B127" s="422">
        <v>63</v>
      </c>
      <c r="C127" s="423">
        <v>31</v>
      </c>
      <c r="D127" s="424"/>
      <c r="E127" s="424"/>
      <c r="F127" s="424"/>
      <c r="G127" s="424">
        <f>SUM(B127:F127)</f>
        <v>94</v>
      </c>
      <c r="H127" s="187"/>
      <c r="I127" s="187"/>
      <c r="J127" s="187">
        <f>SUM(C127:F127)</f>
        <v>31</v>
      </c>
      <c r="K127" s="187"/>
      <c r="L127" s="187"/>
      <c r="M127" s="466">
        <f>G124+G130</f>
        <v>246</v>
      </c>
      <c r="N127" s="187"/>
      <c r="O127" s="187"/>
      <c r="P127" s="187"/>
      <c r="Q127" s="187"/>
      <c r="R127" s="187"/>
      <c r="S127" s="187"/>
      <c r="T127" s="187"/>
      <c r="U127" s="187"/>
      <c r="V127" s="473">
        <v>59</v>
      </c>
      <c r="W127" s="474">
        <v>51</v>
      </c>
      <c r="X127" s="474"/>
      <c r="Y127" s="474"/>
      <c r="Z127" s="474"/>
    </row>
    <row r="128" spans="1:27" s="461" customFormat="1" ht="21" customHeight="1">
      <c r="A128" s="422" t="s">
        <v>28</v>
      </c>
      <c r="B128" s="422">
        <v>35</v>
      </c>
      <c r="C128" s="423">
        <v>30</v>
      </c>
      <c r="D128" s="424"/>
      <c r="E128" s="424"/>
      <c r="F128" s="424"/>
      <c r="G128" s="424">
        <f>SUM(B128:F128)-9</f>
        <v>56</v>
      </c>
      <c r="H128" s="187"/>
      <c r="I128" s="187"/>
      <c r="J128" s="187">
        <f>SUM(C128:F128)</f>
        <v>30</v>
      </c>
      <c r="K128" s="187"/>
      <c r="L128" s="187"/>
      <c r="M128" s="188">
        <f>G123+G127</f>
        <v>303</v>
      </c>
      <c r="N128" s="187">
        <f>57+68</f>
        <v>125</v>
      </c>
      <c r="O128" s="187"/>
      <c r="P128" s="187"/>
      <c r="Q128" s="187"/>
      <c r="R128" s="187"/>
      <c r="S128" s="187"/>
      <c r="T128" s="187"/>
      <c r="U128" s="187"/>
      <c r="V128" s="473">
        <v>82</v>
      </c>
      <c r="W128" s="474">
        <v>90</v>
      </c>
      <c r="X128" s="474">
        <v>7</v>
      </c>
      <c r="Y128" s="474"/>
      <c r="Z128" s="474">
        <v>1</v>
      </c>
    </row>
    <row r="129" spans="1:26" ht="21" hidden="1" customHeight="1">
      <c r="A129" s="100" t="s">
        <v>241</v>
      </c>
      <c r="B129" s="100"/>
      <c r="C129" s="124"/>
      <c r="D129" s="108"/>
      <c r="E129" s="108"/>
      <c r="F129" s="108"/>
      <c r="G129" s="108">
        <f>SUM(C129:F129)</f>
        <v>0</v>
      </c>
      <c r="H129" s="161"/>
      <c r="I129" s="161"/>
      <c r="J129" s="161">
        <f>SUM(C129:F129)</f>
        <v>0</v>
      </c>
      <c r="K129" s="161"/>
      <c r="L129" s="161"/>
      <c r="M129" s="177"/>
      <c r="N129" s="161"/>
      <c r="O129" s="161"/>
      <c r="P129" s="161"/>
      <c r="Q129" s="161"/>
      <c r="R129" s="161"/>
      <c r="S129" s="161"/>
      <c r="T129" s="161"/>
      <c r="U129" s="161"/>
      <c r="V129" s="169">
        <v>82</v>
      </c>
      <c r="W129" s="117">
        <v>90</v>
      </c>
      <c r="X129" s="117">
        <v>7</v>
      </c>
      <c r="Y129" s="117"/>
      <c r="Z129" s="117">
        <v>1</v>
      </c>
    </row>
    <row r="130" spans="1:26" s="461" customFormat="1" ht="21" customHeight="1">
      <c r="A130" s="444" t="s">
        <v>35</v>
      </c>
      <c r="B130" s="444">
        <v>57</v>
      </c>
      <c r="C130" s="445">
        <v>45</v>
      </c>
      <c r="D130" s="446"/>
      <c r="E130" s="446"/>
      <c r="F130" s="446"/>
      <c r="G130" s="424">
        <f>SUM(B130:F130)</f>
        <v>102</v>
      </c>
      <c r="H130" s="187"/>
      <c r="I130" s="187"/>
      <c r="J130" s="187">
        <f>SUM(C130:F130)</f>
        <v>45</v>
      </c>
      <c r="K130" s="187"/>
      <c r="L130" s="187"/>
      <c r="M130" s="188">
        <f>G130+G124</f>
        <v>246</v>
      </c>
      <c r="N130" s="187"/>
      <c r="O130" s="187">
        <f>87+63</f>
        <v>150</v>
      </c>
      <c r="P130" s="187">
        <f>37+38</f>
        <v>75</v>
      </c>
      <c r="Q130" s="187"/>
      <c r="R130" s="187"/>
      <c r="S130" s="187"/>
      <c r="T130" s="187"/>
      <c r="U130" s="187"/>
      <c r="V130" s="473">
        <v>57</v>
      </c>
      <c r="W130" s="474">
        <v>68</v>
      </c>
      <c r="X130" s="474">
        <v>35</v>
      </c>
      <c r="Y130" s="474"/>
      <c r="Z130" s="474"/>
    </row>
    <row r="131" spans="1:26" ht="21" customHeight="1">
      <c r="A131" s="95" t="s">
        <v>162</v>
      </c>
      <c r="B131" s="106">
        <f t="shared" ref="B131:G131" si="38">SUM(B126:B130)</f>
        <v>155</v>
      </c>
      <c r="C131" s="106">
        <f t="shared" si="38"/>
        <v>106</v>
      </c>
      <c r="D131" s="106">
        <f t="shared" si="38"/>
        <v>0</v>
      </c>
      <c r="E131" s="106">
        <f t="shared" si="38"/>
        <v>0</v>
      </c>
      <c r="F131" s="106">
        <f t="shared" si="38"/>
        <v>0</v>
      </c>
      <c r="G131" s="106">
        <f t="shared" si="38"/>
        <v>252</v>
      </c>
      <c r="H131" s="160"/>
      <c r="I131" s="160"/>
      <c r="J131" s="160"/>
      <c r="K131" s="160"/>
      <c r="L131" s="160"/>
      <c r="M131" s="176"/>
      <c r="N131" s="160">
        <f>34+46</f>
        <v>80</v>
      </c>
      <c r="O131" s="160"/>
      <c r="P131" s="160"/>
      <c r="Q131" s="160"/>
      <c r="R131" s="160"/>
      <c r="S131" s="160"/>
      <c r="T131" s="160"/>
      <c r="U131" s="160"/>
      <c r="V131" s="170">
        <f>SUM(V126:V130)</f>
        <v>304</v>
      </c>
      <c r="W131" s="117">
        <f>SUM(W126:W130)</f>
        <v>343</v>
      </c>
      <c r="X131" s="117">
        <f>SUM(X126:X130)</f>
        <v>61</v>
      </c>
      <c r="Z131" s="117">
        <f>SUM(Z126:Z130)</f>
        <v>2</v>
      </c>
    </row>
    <row r="132" spans="1:26" ht="21" customHeight="1">
      <c r="A132" s="99" t="s">
        <v>48</v>
      </c>
      <c r="B132" s="99"/>
      <c r="C132" s="123"/>
      <c r="D132" s="109"/>
      <c r="E132" s="109"/>
      <c r="F132" s="109"/>
      <c r="G132" s="109"/>
      <c r="H132" s="161"/>
      <c r="I132" s="161"/>
      <c r="J132" s="161"/>
      <c r="K132" s="161"/>
      <c r="L132" s="161"/>
      <c r="M132" s="177"/>
      <c r="N132" s="161"/>
      <c r="O132" s="161"/>
      <c r="P132" s="161"/>
      <c r="Q132" s="161"/>
      <c r="R132" s="161"/>
      <c r="S132" s="161"/>
      <c r="T132" s="161"/>
      <c r="U132" s="161"/>
      <c r="V132" s="261"/>
    </row>
    <row r="133" spans="1:26" ht="21" customHeight="1">
      <c r="A133" s="100" t="s">
        <v>108</v>
      </c>
      <c r="B133" s="100"/>
      <c r="C133" s="124"/>
      <c r="D133" s="108"/>
      <c r="E133" s="108"/>
      <c r="F133" s="108"/>
      <c r="G133" s="108">
        <f>SUM(B133:F133)</f>
        <v>0</v>
      </c>
      <c r="H133" s="161"/>
      <c r="I133" s="161"/>
      <c r="J133" s="161"/>
      <c r="K133" s="161"/>
      <c r="L133" s="161"/>
      <c r="M133" s="177"/>
      <c r="N133" s="161"/>
      <c r="O133" s="161"/>
      <c r="P133" s="161"/>
      <c r="Q133" s="161"/>
      <c r="R133" s="161"/>
      <c r="S133" s="161"/>
      <c r="T133" s="161"/>
      <c r="U133" s="161"/>
    </row>
    <row r="134" spans="1:26" ht="21" customHeight="1">
      <c r="A134" s="103"/>
      <c r="B134" s="103"/>
      <c r="C134" s="125"/>
      <c r="D134" s="111"/>
      <c r="E134" s="111"/>
      <c r="F134" s="111"/>
      <c r="G134" s="111"/>
      <c r="H134" s="161"/>
      <c r="I134" s="161"/>
      <c r="J134" s="161"/>
      <c r="K134" s="161"/>
      <c r="L134" s="161"/>
      <c r="M134" s="177"/>
      <c r="N134" s="161"/>
      <c r="O134" s="161"/>
      <c r="P134" s="161"/>
      <c r="Q134" s="161"/>
      <c r="R134" s="161"/>
      <c r="S134" s="161"/>
      <c r="T134" s="161"/>
      <c r="U134" s="161"/>
    </row>
    <row r="135" spans="1:26" ht="21" customHeight="1">
      <c r="A135" s="95" t="s">
        <v>3</v>
      </c>
      <c r="B135" s="106">
        <f t="shared" ref="B135:G135" si="39">SUM(B133:B134)</f>
        <v>0</v>
      </c>
      <c r="C135" s="106">
        <f t="shared" si="39"/>
        <v>0</v>
      </c>
      <c r="D135" s="106">
        <f t="shared" si="39"/>
        <v>0</v>
      </c>
      <c r="E135" s="106">
        <f t="shared" si="39"/>
        <v>0</v>
      </c>
      <c r="F135" s="106">
        <f t="shared" si="39"/>
        <v>0</v>
      </c>
      <c r="G135" s="106">
        <f t="shared" si="39"/>
        <v>0</v>
      </c>
      <c r="H135" s="160"/>
      <c r="I135" s="160"/>
      <c r="J135" s="160"/>
      <c r="K135" s="160"/>
      <c r="L135" s="160"/>
      <c r="M135" s="176"/>
      <c r="N135" s="160"/>
      <c r="O135" s="160"/>
      <c r="P135" s="160"/>
      <c r="Q135" s="160"/>
      <c r="R135" s="160"/>
      <c r="S135" s="160"/>
      <c r="T135" s="160"/>
      <c r="U135" s="160"/>
    </row>
    <row r="136" spans="1:26" ht="21" customHeight="1">
      <c r="A136" s="279" t="s">
        <v>36</v>
      </c>
      <c r="B136" s="280">
        <f t="shared" ref="B136:G136" si="40">SUM(B5,B30,B51,B79,B99,B113)</f>
        <v>3075</v>
      </c>
      <c r="C136" s="280">
        <f t="shared" si="40"/>
        <v>2507</v>
      </c>
      <c r="D136" s="280">
        <f t="shared" si="40"/>
        <v>2116</v>
      </c>
      <c r="E136" s="280">
        <f t="shared" si="40"/>
        <v>1617</v>
      </c>
      <c r="F136" s="280">
        <f t="shared" si="40"/>
        <v>158</v>
      </c>
      <c r="G136" s="280">
        <f t="shared" si="40"/>
        <v>9464</v>
      </c>
      <c r="H136" s="162"/>
      <c r="I136" s="162"/>
      <c r="J136" s="162"/>
      <c r="K136" s="162">
        <f>8241+2932+46</f>
        <v>11219</v>
      </c>
      <c r="L136" s="162"/>
      <c r="M136" s="178"/>
      <c r="N136" s="162"/>
      <c r="O136" s="162"/>
      <c r="P136" s="162"/>
      <c r="Q136" s="162"/>
      <c r="R136" s="162"/>
      <c r="S136" s="162"/>
      <c r="T136" s="162"/>
      <c r="U136" s="162"/>
      <c r="X136" s="117">
        <f>SUM(X5:X135)</f>
        <v>11272</v>
      </c>
    </row>
    <row r="137" spans="1:26" ht="21" hidden="1" customHeight="1">
      <c r="D137" s="112">
        <f>3685</f>
        <v>3685</v>
      </c>
      <c r="E137" s="112">
        <v>3141</v>
      </c>
      <c r="F137" s="112">
        <v>2290</v>
      </c>
    </row>
    <row r="138" spans="1:26" ht="21" hidden="1" customHeight="1">
      <c r="D138" s="112">
        <f>6+5</f>
        <v>11</v>
      </c>
      <c r="E138" s="112">
        <f>19+9+4</f>
        <v>32</v>
      </c>
      <c r="F138" s="112">
        <f>3+3+8</f>
        <v>14</v>
      </c>
    </row>
    <row r="139" spans="1:26" ht="21" hidden="1" customHeight="1">
      <c r="D139" s="112">
        <f>SUM(D137:D138)</f>
        <v>3696</v>
      </c>
      <c r="E139" s="112">
        <f>SUM(E137:E138)</f>
        <v>3173</v>
      </c>
      <c r="F139" s="112">
        <f>SUM(F137:F138)</f>
        <v>2304</v>
      </c>
      <c r="G139" s="112">
        <f>SUM(G137:G138)</f>
        <v>0</v>
      </c>
    </row>
    <row r="140" spans="1:26" ht="21" hidden="1" customHeight="1">
      <c r="D140" s="180" t="s">
        <v>132</v>
      </c>
      <c r="E140" s="180" t="s">
        <v>99</v>
      </c>
      <c r="F140" s="180" t="s">
        <v>84</v>
      </c>
    </row>
    <row r="141" spans="1:26" ht="21" hidden="1" customHeight="1">
      <c r="A141" s="126" t="s">
        <v>66</v>
      </c>
      <c r="B141" s="126"/>
      <c r="D141" s="112">
        <f>D136-(6+5)</f>
        <v>2105</v>
      </c>
    </row>
    <row r="142" spans="1:26" ht="21" hidden="1" customHeight="1">
      <c r="A142" s="126" t="s">
        <v>51</v>
      </c>
      <c r="B142" s="126"/>
      <c r="D142" s="112">
        <f>D23+D50+D78</f>
        <v>0</v>
      </c>
      <c r="E142" s="112">
        <f>E23+E50+E78</f>
        <v>6</v>
      </c>
      <c r="F142" s="112">
        <f>F23+F50+F78</f>
        <v>0</v>
      </c>
    </row>
    <row r="143" spans="1:26" ht="21" hidden="1" customHeight="1">
      <c r="A143" s="126" t="s">
        <v>134</v>
      </c>
      <c r="B143" s="126"/>
      <c r="D143" s="112">
        <f>D29</f>
        <v>5</v>
      </c>
    </row>
    <row r="145" spans="1:14" ht="21" customHeight="1">
      <c r="A145" s="482" t="s">
        <v>301</v>
      </c>
      <c r="B145" s="347"/>
      <c r="C145" s="483" t="s">
        <v>294</v>
      </c>
      <c r="D145" s="477" t="s">
        <v>155</v>
      </c>
      <c r="E145" s="477" t="s">
        <v>156</v>
      </c>
      <c r="F145" s="477" t="s">
        <v>3</v>
      </c>
      <c r="G145" s="164"/>
    </row>
    <row r="146" spans="1:14" ht="21" customHeight="1">
      <c r="A146" s="181" t="s">
        <v>39</v>
      </c>
      <c r="B146" s="301"/>
      <c r="C146" s="165"/>
      <c r="D146" s="172">
        <f>G20</f>
        <v>2933</v>
      </c>
      <c r="E146" s="172"/>
      <c r="F146" s="172">
        <f>SUM(D146:E146)</f>
        <v>2933</v>
      </c>
      <c r="G146" s="166">
        <f>F146+F147+F148</f>
        <v>9409</v>
      </c>
      <c r="H146" s="418"/>
      <c r="I146" s="418"/>
      <c r="J146" s="418"/>
      <c r="K146" s="418" t="e">
        <f>C136+D136+E136+F136+#REF!</f>
        <v>#REF!</v>
      </c>
      <c r="L146" s="418">
        <v>10890</v>
      </c>
    </row>
    <row r="147" spans="1:14" ht="21" customHeight="1">
      <c r="A147" s="181" t="s">
        <v>149</v>
      </c>
      <c r="B147" s="301"/>
      <c r="C147" s="165"/>
      <c r="D147" s="172">
        <f>G112+G125</f>
        <v>3274</v>
      </c>
      <c r="E147" s="172">
        <f>G42+G63+G79</f>
        <v>2806</v>
      </c>
      <c r="F147" s="172">
        <f>SUM(D147:E147)</f>
        <v>6080</v>
      </c>
      <c r="G147" s="166"/>
      <c r="H147" s="418"/>
      <c r="I147" s="418"/>
      <c r="J147" s="418"/>
      <c r="K147" s="418">
        <f>F149+F150</f>
        <v>55</v>
      </c>
      <c r="L147" s="418">
        <f>G146-L146</f>
        <v>-1481</v>
      </c>
      <c r="M147" s="419"/>
    </row>
    <row r="148" spans="1:14" ht="21" customHeight="1">
      <c r="A148" s="181" t="s">
        <v>41</v>
      </c>
      <c r="B148" s="301"/>
      <c r="C148" s="165"/>
      <c r="D148" s="172">
        <f>G131</f>
        <v>252</v>
      </c>
      <c r="E148" s="172">
        <f>G74</f>
        <v>144</v>
      </c>
      <c r="F148" s="172">
        <f>SUM(D148:E148)</f>
        <v>396</v>
      </c>
      <c r="G148" s="166"/>
      <c r="K148" s="112" t="e">
        <f>K146-K147</f>
        <v>#REF!</v>
      </c>
      <c r="L148" s="418">
        <v>11107</v>
      </c>
      <c r="M148" s="419"/>
    </row>
    <row r="149" spans="1:14" ht="21" customHeight="1">
      <c r="A149" s="181" t="s">
        <v>150</v>
      </c>
      <c r="B149" s="301"/>
      <c r="C149" s="165"/>
      <c r="D149" s="172">
        <f>G135</f>
        <v>0</v>
      </c>
      <c r="E149" s="172">
        <f>G47+G78</f>
        <v>18</v>
      </c>
      <c r="F149" s="172">
        <f>SUM(D149:E149)</f>
        <v>18</v>
      </c>
      <c r="G149" s="166">
        <f>F149</f>
        <v>18</v>
      </c>
      <c r="L149" s="418">
        <v>10890</v>
      </c>
      <c r="M149" s="419"/>
    </row>
    <row r="150" spans="1:14" ht="21" customHeight="1">
      <c r="A150" s="181" t="s">
        <v>151</v>
      </c>
      <c r="B150" s="301"/>
      <c r="C150" s="165"/>
      <c r="D150" s="172">
        <f>G29</f>
        <v>30</v>
      </c>
      <c r="E150" s="172">
        <f>G50</f>
        <v>7</v>
      </c>
      <c r="F150" s="172">
        <f>SUM(D150:E150)</f>
        <v>37</v>
      </c>
      <c r="G150" s="166">
        <f>F150</f>
        <v>37</v>
      </c>
    </row>
    <row r="151" spans="1:14" ht="21" customHeight="1">
      <c r="A151" s="345"/>
      <c r="B151" s="302"/>
      <c r="C151" s="167"/>
      <c r="D151" s="477">
        <f>SUM(D146:D150)</f>
        <v>6489</v>
      </c>
      <c r="E151" s="477">
        <f>SUM(E146:E150)</f>
        <v>2975</v>
      </c>
      <c r="F151" s="798">
        <f>D151+E151</f>
        <v>9464</v>
      </c>
      <c r="G151" s="798"/>
      <c r="K151" s="112">
        <f>8241</f>
        <v>8241</v>
      </c>
    </row>
    <row r="152" spans="1:14" ht="21" customHeight="1">
      <c r="K152" s="112">
        <v>2932</v>
      </c>
    </row>
    <row r="153" spans="1:14" ht="21" customHeight="1">
      <c r="K153" s="112">
        <v>46</v>
      </c>
      <c r="N153" s="112">
        <f>18+35</f>
        <v>53</v>
      </c>
    </row>
    <row r="154" spans="1:14" ht="21" customHeight="1">
      <c r="K154" s="112">
        <f>SUM(K151:K153)</f>
        <v>11219</v>
      </c>
    </row>
    <row r="155" spans="1:14" ht="21" customHeight="1">
      <c r="K155" s="112">
        <f>K154-G136</f>
        <v>1755</v>
      </c>
    </row>
  </sheetData>
  <mergeCells count="14">
    <mergeCell ref="M16:S16"/>
    <mergeCell ref="M17:M18"/>
    <mergeCell ref="N17:R17"/>
    <mergeCell ref="S17:S18"/>
    <mergeCell ref="F151:G151"/>
    <mergeCell ref="N15:P15"/>
    <mergeCell ref="S4:S5"/>
    <mergeCell ref="A1:G1"/>
    <mergeCell ref="A3:A4"/>
    <mergeCell ref="M4:M5"/>
    <mergeCell ref="N4:R4"/>
    <mergeCell ref="M2:S2"/>
    <mergeCell ref="A2:G2"/>
    <mergeCell ref="B3:G3"/>
  </mergeCells>
  <phoneticPr fontId="6" type="noConversion"/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3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81"/>
  <sheetViews>
    <sheetView view="pageBreakPreview" zoomScale="120" zoomScaleSheetLayoutView="120" workbookViewId="0">
      <pane ySplit="4" topLeftCell="A5" activePane="bottomLeft" state="frozen"/>
      <selection pane="bottomLeft" activeCell="M13" sqref="M13"/>
    </sheetView>
  </sheetViews>
  <sheetFormatPr defaultRowHeight="21"/>
  <cols>
    <col min="1" max="1" width="39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7109375" style="421" customWidth="1"/>
    <col min="10" max="10" width="12.140625" style="421" customWidth="1"/>
    <col min="11" max="15" width="8.7109375" style="421" customWidth="1"/>
    <col min="16" max="16" width="8.42578125" style="421" hidden="1" customWidth="1"/>
    <col min="17" max="17" width="21.140625" style="421" hidden="1" customWidth="1"/>
    <col min="18" max="18" width="11" style="421" hidden="1" customWidth="1"/>
    <col min="19" max="21" width="8.42578125" style="421" hidden="1" customWidth="1"/>
    <col min="22" max="22" width="0" style="93" hidden="1" customWidth="1"/>
    <col min="23" max="16384" width="9.140625" style="93"/>
  </cols>
  <sheetData>
    <row r="1" spans="1:21" ht="23.25">
      <c r="A1" s="924" t="s">
        <v>362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301"/>
      <c r="Q1" s="301"/>
      <c r="R1" s="301"/>
      <c r="S1" s="301"/>
      <c r="T1" s="301"/>
      <c r="U1" s="301"/>
    </row>
    <row r="2" spans="1:21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1">
      <c r="A3" s="920" t="s">
        <v>0</v>
      </c>
      <c r="B3" s="706" t="s">
        <v>339</v>
      </c>
      <c r="C3" s="706" t="s">
        <v>305</v>
      </c>
      <c r="D3" s="706" t="s">
        <v>266</v>
      </c>
      <c r="E3" s="706" t="s">
        <v>230</v>
      </c>
      <c r="F3" s="706" t="s">
        <v>163</v>
      </c>
      <c r="G3" s="706" t="s">
        <v>132</v>
      </c>
      <c r="H3" s="706" t="s">
        <v>99</v>
      </c>
      <c r="I3" s="922" t="s">
        <v>355</v>
      </c>
      <c r="J3" s="882" t="s">
        <v>363</v>
      </c>
      <c r="K3" s="877" t="s">
        <v>361</v>
      </c>
      <c r="L3" s="877"/>
      <c r="M3" s="877"/>
      <c r="N3" s="877"/>
      <c r="O3" s="877"/>
      <c r="P3" s="159"/>
      <c r="Q3" s="159"/>
      <c r="R3" s="159"/>
      <c r="S3" s="159"/>
      <c r="T3" s="159"/>
      <c r="U3" s="159"/>
    </row>
    <row r="4" spans="1:21">
      <c r="A4" s="921"/>
      <c r="B4" s="708"/>
      <c r="C4" s="708"/>
      <c r="D4" s="708"/>
      <c r="E4" s="708"/>
      <c r="F4" s="705"/>
      <c r="G4" s="705"/>
      <c r="H4" s="705"/>
      <c r="I4" s="923"/>
      <c r="J4" s="882"/>
      <c r="K4" s="699" t="s">
        <v>356</v>
      </c>
      <c r="L4" s="699" t="s">
        <v>357</v>
      </c>
      <c r="M4" s="699" t="s">
        <v>358</v>
      </c>
      <c r="N4" s="699" t="s">
        <v>359</v>
      </c>
      <c r="O4" s="699" t="s">
        <v>360</v>
      </c>
      <c r="P4" s="492"/>
      <c r="Q4" s="492"/>
      <c r="R4" s="492"/>
      <c r="S4" s="492"/>
      <c r="T4" s="492"/>
      <c r="U4" s="492"/>
    </row>
    <row r="5" spans="1:21">
      <c r="A5" s="505" t="s">
        <v>5</v>
      </c>
      <c r="B5" s="505"/>
      <c r="C5" s="505"/>
      <c r="D5" s="505"/>
      <c r="E5" s="505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2"/>
      <c r="Q5" s="492"/>
      <c r="R5" s="492"/>
      <c r="S5" s="492"/>
      <c r="T5" s="492"/>
      <c r="U5" s="492"/>
    </row>
    <row r="6" spans="1:21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2"/>
      <c r="Q6" s="492"/>
      <c r="R6" s="159" t="s">
        <v>40</v>
      </c>
      <c r="S6" s="159" t="s">
        <v>150</v>
      </c>
      <c r="T6" s="159" t="s">
        <v>151</v>
      </c>
      <c r="U6" s="159"/>
    </row>
    <row r="7" spans="1:21" s="461" customFormat="1">
      <c r="A7" s="659" t="s">
        <v>71</v>
      </c>
      <c r="B7" s="659">
        <f>35+30</f>
        <v>65</v>
      </c>
      <c r="C7" s="659">
        <f>19+46</f>
        <v>65</v>
      </c>
      <c r="D7" s="659">
        <v>19</v>
      </c>
      <c r="E7" s="659">
        <v>5</v>
      </c>
      <c r="F7" s="701">
        <f>4+4+5</f>
        <v>13</v>
      </c>
      <c r="G7" s="701"/>
      <c r="H7" s="701"/>
      <c r="I7" s="701">
        <f>SUM(B7:H7)</f>
        <v>167</v>
      </c>
      <c r="J7" s="701">
        <f t="shared" ref="J7:J12" si="0">B7</f>
        <v>65</v>
      </c>
      <c r="K7" s="701">
        <v>40</v>
      </c>
      <c r="L7" s="701">
        <v>40</v>
      </c>
      <c r="M7" s="701">
        <v>40</v>
      </c>
      <c r="N7" s="701">
        <v>40</v>
      </c>
      <c r="O7" s="701">
        <v>40</v>
      </c>
      <c r="P7" s="529"/>
      <c r="Q7" s="491" t="s">
        <v>210</v>
      </c>
      <c r="R7" s="491">
        <f>I40</f>
        <v>220</v>
      </c>
      <c r="S7" s="491">
        <f>I13</f>
        <v>449</v>
      </c>
      <c r="T7" s="491">
        <f>I19</f>
        <v>152</v>
      </c>
      <c r="U7" s="491">
        <f>SUM(R7:T7)</f>
        <v>821</v>
      </c>
    </row>
    <row r="8" spans="1:21" s="461" customFormat="1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>
        <f t="shared" ref="I8:I12" si="1">SUM(B8:H8)</f>
        <v>46</v>
      </c>
      <c r="J8" s="614">
        <f t="shared" si="0"/>
        <v>46</v>
      </c>
      <c r="K8" s="614">
        <v>40</v>
      </c>
      <c r="L8" s="614">
        <v>40</v>
      </c>
      <c r="M8" s="614">
        <v>40</v>
      </c>
      <c r="N8" s="614">
        <v>40</v>
      </c>
      <c r="O8" s="614">
        <v>40</v>
      </c>
      <c r="P8" s="529"/>
      <c r="Q8" s="491" t="s">
        <v>211</v>
      </c>
      <c r="R8" s="491"/>
      <c r="S8" s="491">
        <f>I27</f>
        <v>0</v>
      </c>
      <c r="T8" s="491"/>
      <c r="U8" s="491">
        <f>SUM(S8:T8)</f>
        <v>0</v>
      </c>
    </row>
    <row r="9" spans="1:21" s="461" customFormat="1">
      <c r="A9" s="250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 t="shared" si="1"/>
        <v>69</v>
      </c>
      <c r="J9" s="614">
        <f t="shared" si="0"/>
        <v>0</v>
      </c>
      <c r="K9" s="614">
        <v>40</v>
      </c>
      <c r="L9" s="614">
        <v>40</v>
      </c>
      <c r="M9" s="614">
        <v>40</v>
      </c>
      <c r="N9" s="614">
        <v>40</v>
      </c>
      <c r="O9" s="614">
        <v>40</v>
      </c>
      <c r="P9" s="529"/>
      <c r="Q9" s="491" t="s">
        <v>211</v>
      </c>
      <c r="R9" s="491"/>
      <c r="S9" s="491">
        <f>I28</f>
        <v>14</v>
      </c>
      <c r="T9" s="491"/>
      <c r="U9" s="491">
        <f>SUM(S9:T9)</f>
        <v>14</v>
      </c>
    </row>
    <row r="10" spans="1:21" s="461" customFormat="1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f t="shared" si="1"/>
        <v>58</v>
      </c>
      <c r="J10" s="614">
        <f t="shared" si="0"/>
        <v>17</v>
      </c>
      <c r="K10" s="614">
        <v>40</v>
      </c>
      <c r="L10" s="614">
        <v>40</v>
      </c>
      <c r="M10" s="614">
        <v>40</v>
      </c>
      <c r="N10" s="614">
        <v>40</v>
      </c>
      <c r="O10" s="614">
        <v>40</v>
      </c>
      <c r="P10" s="492"/>
      <c r="Q10" s="491" t="s">
        <v>64</v>
      </c>
      <c r="R10" s="491"/>
      <c r="S10" s="491">
        <f>I34</f>
        <v>86</v>
      </c>
      <c r="T10" s="491">
        <f>I35</f>
        <v>40</v>
      </c>
      <c r="U10" s="491">
        <f>SUM(S10:T10)</f>
        <v>126</v>
      </c>
    </row>
    <row r="11" spans="1:21" s="461" customFormat="1">
      <c r="A11" s="250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>
        <f t="shared" si="1"/>
        <v>71</v>
      </c>
      <c r="J11" s="614">
        <f t="shared" si="0"/>
        <v>0</v>
      </c>
      <c r="K11" s="614">
        <v>0</v>
      </c>
      <c r="L11" s="614">
        <v>0</v>
      </c>
      <c r="M11" s="614">
        <v>0</v>
      </c>
      <c r="N11" s="614">
        <v>0</v>
      </c>
      <c r="O11" s="614">
        <v>0</v>
      </c>
      <c r="P11" s="492"/>
      <c r="Q11" s="503" t="s">
        <v>267</v>
      </c>
      <c r="R11" s="503">
        <f>SUM(R7:R10)</f>
        <v>220</v>
      </c>
      <c r="S11" s="503">
        <f>SUM(S7:S10)</f>
        <v>549</v>
      </c>
      <c r="T11" s="503">
        <f>SUM(T7:T10)</f>
        <v>192</v>
      </c>
      <c r="U11" s="503">
        <f>SUM(U7:U10)</f>
        <v>961</v>
      </c>
    </row>
    <row r="12" spans="1:21" s="461" customFormat="1">
      <c r="A12" s="401" t="s">
        <v>262</v>
      </c>
      <c r="B12" s="401"/>
      <c r="C12" s="401">
        <f>1+3</f>
        <v>4</v>
      </c>
      <c r="D12" s="401">
        <v>10</v>
      </c>
      <c r="E12" s="401">
        <v>24</v>
      </c>
      <c r="F12" s="737"/>
      <c r="G12" s="737"/>
      <c r="H12" s="737"/>
      <c r="I12" s="737">
        <f t="shared" si="1"/>
        <v>38</v>
      </c>
      <c r="J12" s="737">
        <f t="shared" si="0"/>
        <v>0</v>
      </c>
      <c r="K12" s="737">
        <v>35</v>
      </c>
      <c r="L12" s="737">
        <v>35</v>
      </c>
      <c r="M12" s="737">
        <v>35</v>
      </c>
      <c r="N12" s="737">
        <v>35</v>
      </c>
      <c r="O12" s="737">
        <v>35</v>
      </c>
      <c r="P12" s="492">
        <f>I11+I8</f>
        <v>117</v>
      </c>
      <c r="Q12" s="492"/>
      <c r="R12" s="492"/>
      <c r="S12" s="492"/>
      <c r="T12" s="492"/>
      <c r="U12" s="492"/>
    </row>
    <row r="13" spans="1:21">
      <c r="A13" s="95" t="s">
        <v>3</v>
      </c>
      <c r="B13" s="503">
        <f>SUM(B7:B12)</f>
        <v>128</v>
      </c>
      <c r="C13" s="503">
        <f>SUM(C7:C12)</f>
        <v>119</v>
      </c>
      <c r="D13" s="503">
        <f>SUM(D7:D12)</f>
        <v>76</v>
      </c>
      <c r="E13" s="503">
        <f t="shared" ref="E13:H13" si="2">SUM(E7:E12)</f>
        <v>64</v>
      </c>
      <c r="F13" s="503">
        <f t="shared" si="2"/>
        <v>62</v>
      </c>
      <c r="G13" s="503">
        <f t="shared" si="2"/>
        <v>0</v>
      </c>
      <c r="H13" s="503">
        <f t="shared" si="2"/>
        <v>0</v>
      </c>
      <c r="I13" s="503">
        <f>SUM(B13:H13)</f>
        <v>449</v>
      </c>
      <c r="J13" s="503">
        <f>SUM(J7:J12)</f>
        <v>128</v>
      </c>
      <c r="K13" s="503">
        <f t="shared" ref="K13:O13" si="3">SUM(K7:K12)</f>
        <v>195</v>
      </c>
      <c r="L13" s="503">
        <f t="shared" si="3"/>
        <v>195</v>
      </c>
      <c r="M13" s="503">
        <f t="shared" si="3"/>
        <v>195</v>
      </c>
      <c r="N13" s="503">
        <f t="shared" si="3"/>
        <v>195</v>
      </c>
      <c r="O13" s="503">
        <f t="shared" si="3"/>
        <v>195</v>
      </c>
      <c r="P13" s="492">
        <f>I7+I9+I10+I11</f>
        <v>365</v>
      </c>
      <c r="Q13" s="491" t="s">
        <v>56</v>
      </c>
      <c r="R13" s="491"/>
      <c r="S13" s="491">
        <f>I21+I23</f>
        <v>78</v>
      </c>
      <c r="T13" s="491">
        <f>I22</f>
        <v>1</v>
      </c>
      <c r="U13" s="491">
        <f>SUM(S13:T13)</f>
        <v>79</v>
      </c>
    </row>
    <row r="14" spans="1:21">
      <c r="A14" s="505" t="s">
        <v>134</v>
      </c>
      <c r="B14" s="505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492"/>
      <c r="Q14" s="491" t="s">
        <v>212</v>
      </c>
      <c r="R14" s="491"/>
      <c r="S14" s="491"/>
      <c r="T14" s="491"/>
      <c r="U14" s="491">
        <f>SUM(S14:T14)</f>
        <v>0</v>
      </c>
    </row>
    <row r="15" spans="1:21" s="461" customFormat="1">
      <c r="A15" s="299" t="s">
        <v>82</v>
      </c>
      <c r="B15" s="299"/>
      <c r="C15" s="299"/>
      <c r="D15" s="299"/>
      <c r="E15" s="299"/>
      <c r="F15" s="502">
        <f>4+3</f>
        <v>7</v>
      </c>
      <c r="G15" s="502">
        <v>5</v>
      </c>
      <c r="H15" s="502"/>
      <c r="I15" s="502">
        <f>SUM(B15:H15)</f>
        <v>12</v>
      </c>
      <c r="J15" s="372">
        <f>B15</f>
        <v>0</v>
      </c>
      <c r="K15" s="372">
        <v>0</v>
      </c>
      <c r="L15" s="372">
        <v>0</v>
      </c>
      <c r="M15" s="372">
        <v>0</v>
      </c>
      <c r="N15" s="372">
        <v>0</v>
      </c>
      <c r="O15" s="372">
        <v>0</v>
      </c>
      <c r="P15" s="494"/>
      <c r="Q15" s="491" t="s">
        <v>213</v>
      </c>
      <c r="R15" s="491"/>
      <c r="S15" s="491">
        <f>I30</f>
        <v>0</v>
      </c>
      <c r="T15" s="491"/>
      <c r="U15" s="491">
        <f>SUM(S15:T15)</f>
        <v>0</v>
      </c>
    </row>
    <row r="16" spans="1:21" s="461" customFormat="1">
      <c r="A16" s="250" t="s">
        <v>282</v>
      </c>
      <c r="B16" s="250">
        <v>12</v>
      </c>
      <c r="C16" s="250">
        <f>17+1</f>
        <v>18</v>
      </c>
      <c r="D16" s="250">
        <f>14+2</f>
        <v>16</v>
      </c>
      <c r="E16" s="250">
        <v>13</v>
      </c>
      <c r="F16" s="614"/>
      <c r="G16" s="614"/>
      <c r="H16" s="614"/>
      <c r="I16" s="614">
        <f>SUM(B16:H16)</f>
        <v>59</v>
      </c>
      <c r="J16" s="614">
        <f>B16</f>
        <v>12</v>
      </c>
      <c r="K16" s="614">
        <v>15</v>
      </c>
      <c r="L16" s="614">
        <v>15</v>
      </c>
      <c r="M16" s="614">
        <v>15</v>
      </c>
      <c r="N16" s="614">
        <v>15</v>
      </c>
      <c r="O16" s="614">
        <v>15</v>
      </c>
      <c r="P16" s="494"/>
      <c r="Q16" s="377" t="s">
        <v>316</v>
      </c>
      <c r="R16" s="709">
        <f>SUM(R13:R15)</f>
        <v>0</v>
      </c>
      <c r="S16" s="709">
        <f>SUM(S13:S15)</f>
        <v>78</v>
      </c>
      <c r="T16" s="709">
        <f>SUM(T13:T15)</f>
        <v>1</v>
      </c>
      <c r="U16" s="709">
        <f>SUM(U13:U15)</f>
        <v>79</v>
      </c>
    </row>
    <row r="17" spans="1:21" s="461" customFormat="1">
      <c r="A17" s="250" t="s">
        <v>97</v>
      </c>
      <c r="B17" s="250">
        <v>7</v>
      </c>
      <c r="C17" s="250">
        <v>11</v>
      </c>
      <c r="D17" s="250"/>
      <c r="E17" s="250"/>
      <c r="F17" s="614">
        <v>12</v>
      </c>
      <c r="G17" s="614"/>
      <c r="H17" s="614"/>
      <c r="I17" s="614">
        <f>SUM(B17:H17)</f>
        <v>30</v>
      </c>
      <c r="J17" s="614">
        <f>B17</f>
        <v>7</v>
      </c>
      <c r="K17" s="614">
        <v>0</v>
      </c>
      <c r="L17" s="614">
        <v>15</v>
      </c>
      <c r="M17" s="614">
        <v>0</v>
      </c>
      <c r="N17" s="614">
        <v>15</v>
      </c>
      <c r="O17" s="614">
        <v>0</v>
      </c>
      <c r="P17" s="494"/>
      <c r="Q17" s="93"/>
      <c r="R17" s="93"/>
      <c r="S17" s="93"/>
      <c r="T17" s="93"/>
      <c r="U17" s="93"/>
    </row>
    <row r="18" spans="1:21" s="461" customFormat="1">
      <c r="A18" s="96" t="s">
        <v>98</v>
      </c>
      <c r="B18" s="96">
        <v>7</v>
      </c>
      <c r="C18" s="96">
        <f>6+4</f>
        <v>10</v>
      </c>
      <c r="D18" s="96">
        <v>19</v>
      </c>
      <c r="E18" s="96">
        <v>9</v>
      </c>
      <c r="F18" s="704">
        <v>5</v>
      </c>
      <c r="G18" s="704">
        <v>1</v>
      </c>
      <c r="H18" s="704"/>
      <c r="I18" s="502">
        <f>SUM(B18:H18)</f>
        <v>51</v>
      </c>
      <c r="J18" s="614">
        <f>B18</f>
        <v>7</v>
      </c>
      <c r="K18" s="704">
        <v>15</v>
      </c>
      <c r="L18" s="704">
        <v>15</v>
      </c>
      <c r="M18" s="704">
        <v>15</v>
      </c>
      <c r="N18" s="704">
        <v>15</v>
      </c>
      <c r="O18" s="704">
        <v>15</v>
      </c>
      <c r="P18" s="492"/>
      <c r="Q18" s="504" t="s">
        <v>59</v>
      </c>
      <c r="R18" s="504">
        <f>R11+R16</f>
        <v>220</v>
      </c>
      <c r="S18" s="504">
        <f>S11+S16</f>
        <v>627</v>
      </c>
      <c r="T18" s="504">
        <f>T11+T16</f>
        <v>193</v>
      </c>
      <c r="U18" s="504">
        <f>U11+U16</f>
        <v>1040</v>
      </c>
    </row>
    <row r="19" spans="1:21" s="698" customFormat="1">
      <c r="A19" s="95" t="s">
        <v>3</v>
      </c>
      <c r="B19" s="503">
        <f>SUM(B15:B18)</f>
        <v>26</v>
      </c>
      <c r="C19" s="503">
        <f>SUM(C15:C18)</f>
        <v>39</v>
      </c>
      <c r="D19" s="503">
        <f>SUM(D15:D18)</f>
        <v>35</v>
      </c>
      <c r="E19" s="503">
        <f t="shared" ref="E19:H19" si="4">SUM(E15:E18)</f>
        <v>22</v>
      </c>
      <c r="F19" s="503">
        <f t="shared" si="4"/>
        <v>24</v>
      </c>
      <c r="G19" s="503">
        <f t="shared" si="4"/>
        <v>6</v>
      </c>
      <c r="H19" s="503">
        <f t="shared" si="4"/>
        <v>0</v>
      </c>
      <c r="I19" s="503">
        <f>SUM(B19:H19)</f>
        <v>152</v>
      </c>
      <c r="J19" s="503">
        <f>SUM(J15:J18)</f>
        <v>26</v>
      </c>
      <c r="K19" s="503">
        <f t="shared" ref="K19:O19" si="5">SUM(K15:K18)</f>
        <v>30</v>
      </c>
      <c r="L19" s="503">
        <f t="shared" si="5"/>
        <v>45</v>
      </c>
      <c r="M19" s="503">
        <f t="shared" si="5"/>
        <v>30</v>
      </c>
      <c r="N19" s="503">
        <f t="shared" si="5"/>
        <v>45</v>
      </c>
      <c r="O19" s="503">
        <f t="shared" si="5"/>
        <v>30</v>
      </c>
      <c r="P19" s="504"/>
      <c r="Q19" s="504"/>
      <c r="R19" s="504"/>
      <c r="S19" s="504"/>
      <c r="T19" s="504"/>
      <c r="U19" s="504"/>
    </row>
    <row r="20" spans="1:21">
      <c r="A20" s="98" t="s">
        <v>11</v>
      </c>
      <c r="B20" s="98"/>
      <c r="C20" s="98"/>
      <c r="D20" s="98"/>
      <c r="E20" s="98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2"/>
    </row>
    <row r="21" spans="1:21" s="461" customFormat="1">
      <c r="A21" s="99" t="s">
        <v>173</v>
      </c>
      <c r="B21" s="259"/>
      <c r="C21" s="259">
        <f>0+2</f>
        <v>2</v>
      </c>
      <c r="D21" s="259"/>
      <c r="E21" s="259">
        <f>1+0</f>
        <v>1</v>
      </c>
      <c r="F21" s="502"/>
      <c r="G21" s="502"/>
      <c r="H21" s="502"/>
      <c r="I21" s="372">
        <f>SUM(B21:H21)</f>
        <v>3</v>
      </c>
      <c r="J21" s="372">
        <f>B21</f>
        <v>0</v>
      </c>
      <c r="K21" s="372">
        <v>10</v>
      </c>
      <c r="L21" s="372">
        <v>10</v>
      </c>
      <c r="M21" s="372">
        <v>10</v>
      </c>
      <c r="N21" s="372">
        <v>10</v>
      </c>
      <c r="O21" s="372">
        <v>10</v>
      </c>
      <c r="P21" s="492"/>
      <c r="Q21" s="492"/>
      <c r="R21" s="492"/>
      <c r="S21" s="492"/>
      <c r="T21" s="492"/>
      <c r="U21" s="492"/>
    </row>
    <row r="22" spans="1:21" s="461" customFormat="1">
      <c r="A22" s="99" t="s">
        <v>171</v>
      </c>
      <c r="B22" s="259"/>
      <c r="C22" s="259"/>
      <c r="D22" s="259">
        <v>1</v>
      </c>
      <c r="E22" s="259"/>
      <c r="F22" s="502"/>
      <c r="G22" s="502"/>
      <c r="H22" s="502"/>
      <c r="I22" s="614">
        <f>SUM(B22:H22)</f>
        <v>1</v>
      </c>
      <c r="J22" s="614">
        <f>B22</f>
        <v>0</v>
      </c>
      <c r="K22" s="372">
        <v>10</v>
      </c>
      <c r="L22" s="372">
        <v>10</v>
      </c>
      <c r="M22" s="372">
        <v>10</v>
      </c>
      <c r="N22" s="372">
        <v>10</v>
      </c>
      <c r="O22" s="372">
        <v>10</v>
      </c>
      <c r="P22" s="492"/>
      <c r="Q22" s="492"/>
      <c r="R22" s="492"/>
      <c r="S22" s="492"/>
      <c r="T22" s="492"/>
      <c r="U22" s="492"/>
    </row>
    <row r="23" spans="1:21" s="461" customFormat="1">
      <c r="A23" s="103" t="s">
        <v>174</v>
      </c>
      <c r="B23" s="103">
        <v>8</v>
      </c>
      <c r="C23" s="103">
        <f>9+1</f>
        <v>10</v>
      </c>
      <c r="D23" s="103">
        <v>17</v>
      </c>
      <c r="E23" s="103">
        <f>14+10</f>
        <v>24</v>
      </c>
      <c r="F23" s="704">
        <v>16</v>
      </c>
      <c r="G23" s="704"/>
      <c r="H23" s="704"/>
      <c r="I23" s="502">
        <f>SUM(B23:H23)</f>
        <v>75</v>
      </c>
      <c r="J23" s="614">
        <f>B23</f>
        <v>8</v>
      </c>
      <c r="K23" s="704">
        <v>20</v>
      </c>
      <c r="L23" s="704">
        <v>20</v>
      </c>
      <c r="M23" s="704">
        <v>20</v>
      </c>
      <c r="N23" s="704">
        <v>20</v>
      </c>
      <c r="O23" s="704">
        <v>20</v>
      </c>
      <c r="P23" s="492"/>
      <c r="Q23" s="492"/>
      <c r="R23" s="492"/>
      <c r="S23" s="492"/>
      <c r="T23" s="492"/>
      <c r="U23" s="492"/>
    </row>
    <row r="24" spans="1:21">
      <c r="A24" s="95" t="s">
        <v>3</v>
      </c>
      <c r="B24" s="491">
        <f t="shared" ref="B24:H24" si="6">SUM(B21:B23)</f>
        <v>8</v>
      </c>
      <c r="C24" s="491">
        <f t="shared" si="6"/>
        <v>12</v>
      </c>
      <c r="D24" s="491">
        <f t="shared" si="6"/>
        <v>18</v>
      </c>
      <c r="E24" s="491">
        <f t="shared" si="6"/>
        <v>25</v>
      </c>
      <c r="F24" s="491">
        <f t="shared" si="6"/>
        <v>16</v>
      </c>
      <c r="G24" s="491">
        <f t="shared" si="6"/>
        <v>0</v>
      </c>
      <c r="H24" s="491">
        <f t="shared" si="6"/>
        <v>0</v>
      </c>
      <c r="I24" s="503">
        <f>SUM(B24:H24)</f>
        <v>79</v>
      </c>
      <c r="J24" s="503">
        <f>SUM(J21:J23)</f>
        <v>8</v>
      </c>
      <c r="K24" s="503">
        <f t="shared" ref="K24:O24" si="7">SUM(K21:K23)</f>
        <v>40</v>
      </c>
      <c r="L24" s="503">
        <f t="shared" si="7"/>
        <v>40</v>
      </c>
      <c r="M24" s="503">
        <f t="shared" si="7"/>
        <v>40</v>
      </c>
      <c r="N24" s="503">
        <f t="shared" si="7"/>
        <v>40</v>
      </c>
      <c r="O24" s="503">
        <f t="shared" si="7"/>
        <v>40</v>
      </c>
      <c r="P24" s="492"/>
      <c r="Q24" s="492"/>
      <c r="R24" s="492"/>
      <c r="S24" s="492"/>
      <c r="T24" s="492"/>
      <c r="U24" s="492"/>
    </row>
    <row r="25" spans="1:21">
      <c r="A25" s="507" t="s">
        <v>19</v>
      </c>
      <c r="B25" s="507"/>
      <c r="C25" s="507"/>
      <c r="D25" s="507"/>
      <c r="E25" s="507"/>
      <c r="F25" s="502"/>
      <c r="G25" s="502"/>
      <c r="H25" s="502"/>
      <c r="I25" s="502"/>
      <c r="J25" s="502"/>
      <c r="K25" s="372"/>
      <c r="L25" s="372"/>
      <c r="M25" s="372"/>
      <c r="N25" s="372"/>
      <c r="O25" s="372"/>
      <c r="P25" s="492"/>
      <c r="Q25" s="492">
        <f>45+26</f>
        <v>71</v>
      </c>
      <c r="R25" s="492"/>
      <c r="S25" s="492"/>
      <c r="T25" s="492"/>
      <c r="U25" s="492"/>
    </row>
    <row r="26" spans="1:21" s="461" customFormat="1">
      <c r="A26" s="100" t="s">
        <v>74</v>
      </c>
      <c r="B26" s="100"/>
      <c r="C26" s="100"/>
      <c r="D26" s="100"/>
      <c r="E26" s="100">
        <v>7</v>
      </c>
      <c r="F26" s="614">
        <v>7</v>
      </c>
      <c r="G26" s="614"/>
      <c r="H26" s="614"/>
      <c r="I26" s="614">
        <f>SUM(B26:H26)</f>
        <v>14</v>
      </c>
      <c r="J26" s="614">
        <f>B26</f>
        <v>0</v>
      </c>
      <c r="K26" s="614">
        <v>0</v>
      </c>
      <c r="L26" s="614">
        <v>0</v>
      </c>
      <c r="M26" s="614">
        <v>0</v>
      </c>
      <c r="N26" s="614">
        <v>0</v>
      </c>
      <c r="O26" s="614">
        <v>0</v>
      </c>
      <c r="P26" s="492"/>
      <c r="Q26" s="492">
        <f>29+12</f>
        <v>41</v>
      </c>
      <c r="R26" s="492"/>
      <c r="S26" s="492"/>
      <c r="T26" s="492">
        <f>I13+I24+I28+I32+I36</f>
        <v>668</v>
      </c>
      <c r="U26" s="492"/>
    </row>
    <row r="27" spans="1:21">
      <c r="A27" s="259"/>
      <c r="B27" s="259"/>
      <c r="C27" s="259"/>
      <c r="D27" s="259"/>
      <c r="E27" s="259"/>
      <c r="F27" s="502"/>
      <c r="G27" s="502"/>
      <c r="H27" s="502"/>
      <c r="I27" s="502"/>
      <c r="J27" s="502"/>
      <c r="K27" s="704"/>
      <c r="L27" s="704"/>
      <c r="M27" s="704"/>
      <c r="N27" s="704"/>
      <c r="O27" s="704"/>
      <c r="P27" s="492"/>
      <c r="Q27" s="492">
        <f>SUM(Q25:Q26)</f>
        <v>112</v>
      </c>
      <c r="R27" s="492"/>
      <c r="S27" s="492"/>
      <c r="T27" s="492">
        <f>I19+I35</f>
        <v>192</v>
      </c>
      <c r="U27" s="492">
        <f>20</f>
        <v>20</v>
      </c>
    </row>
    <row r="28" spans="1:21">
      <c r="A28" s="95" t="s">
        <v>3</v>
      </c>
      <c r="B28" s="491">
        <f t="shared" ref="B28:H28" si="8">SUM(B26:B27)</f>
        <v>0</v>
      </c>
      <c r="C28" s="491">
        <f t="shared" si="8"/>
        <v>0</v>
      </c>
      <c r="D28" s="491">
        <f t="shared" si="8"/>
        <v>0</v>
      </c>
      <c r="E28" s="491">
        <f t="shared" si="8"/>
        <v>7</v>
      </c>
      <c r="F28" s="491">
        <f t="shared" si="8"/>
        <v>7</v>
      </c>
      <c r="G28" s="491">
        <f t="shared" si="8"/>
        <v>0</v>
      </c>
      <c r="H28" s="491">
        <f t="shared" si="8"/>
        <v>0</v>
      </c>
      <c r="I28" s="491">
        <f>SUM(B28:H28)</f>
        <v>14</v>
      </c>
      <c r="J28" s="491">
        <f>SUM(J26:J27)</f>
        <v>0</v>
      </c>
      <c r="K28" s="491">
        <f t="shared" ref="K28:O28" si="9">SUM(K26:K27)</f>
        <v>0</v>
      </c>
      <c r="L28" s="491">
        <f t="shared" si="9"/>
        <v>0</v>
      </c>
      <c r="M28" s="491">
        <f t="shared" si="9"/>
        <v>0</v>
      </c>
      <c r="N28" s="491">
        <f t="shared" si="9"/>
        <v>0</v>
      </c>
      <c r="O28" s="491">
        <f t="shared" si="9"/>
        <v>0</v>
      </c>
      <c r="P28" s="492"/>
      <c r="Q28" s="492"/>
      <c r="R28" s="492"/>
      <c r="S28" s="492"/>
      <c r="T28" s="492">
        <f>SUM(T26:T27)</f>
        <v>860</v>
      </c>
      <c r="U28" s="492"/>
    </row>
    <row r="29" spans="1:21" hidden="1">
      <c r="A29" s="507" t="s">
        <v>15</v>
      </c>
      <c r="B29" s="507"/>
      <c r="C29" s="507"/>
      <c r="D29" s="507"/>
      <c r="E29" s="507"/>
      <c r="F29" s="502"/>
      <c r="G29" s="502"/>
      <c r="H29" s="502"/>
      <c r="I29" s="502"/>
      <c r="J29" s="502"/>
      <c r="K29" s="372"/>
      <c r="L29" s="372"/>
      <c r="M29" s="372"/>
      <c r="N29" s="372"/>
      <c r="O29" s="372"/>
      <c r="P29" s="492"/>
      <c r="Q29" s="492"/>
      <c r="R29" s="492"/>
      <c r="S29" s="492"/>
      <c r="T29" s="492">
        <v>329</v>
      </c>
      <c r="U29" s="492"/>
    </row>
    <row r="30" spans="1:21" s="461" customFormat="1" hidden="1">
      <c r="A30" s="100" t="s">
        <v>130</v>
      </c>
      <c r="B30" s="100"/>
      <c r="C30" s="100"/>
      <c r="D30" s="100"/>
      <c r="E30" s="100"/>
      <c r="F30" s="614"/>
      <c r="G30" s="614"/>
      <c r="H30" s="614"/>
      <c r="I30" s="614">
        <f>SUM(C30:H30)</f>
        <v>0</v>
      </c>
      <c r="J30" s="614"/>
      <c r="K30" s="614"/>
      <c r="L30" s="614"/>
      <c r="M30" s="614"/>
      <c r="N30" s="614"/>
      <c r="O30" s="614"/>
      <c r="P30" s="492"/>
      <c r="Q30" s="492"/>
      <c r="R30" s="492"/>
      <c r="S30" s="492"/>
      <c r="T30" s="492">
        <f>SUM(T28:T29)</f>
        <v>1189</v>
      </c>
      <c r="U30" s="492"/>
    </row>
    <row r="31" spans="1:21" hidden="1">
      <c r="A31" s="99"/>
      <c r="B31" s="259"/>
      <c r="C31" s="259"/>
      <c r="D31" s="259"/>
      <c r="E31" s="259"/>
      <c r="F31" s="502"/>
      <c r="G31" s="502"/>
      <c r="H31" s="502"/>
      <c r="I31" s="502"/>
      <c r="J31" s="502"/>
      <c r="K31" s="614"/>
      <c r="L31" s="614"/>
      <c r="M31" s="614"/>
      <c r="N31" s="614"/>
      <c r="O31" s="614"/>
      <c r="P31" s="529"/>
      <c r="Q31" s="529"/>
      <c r="R31" s="529"/>
      <c r="S31" s="530"/>
      <c r="T31" s="492"/>
      <c r="U31" s="492"/>
    </row>
    <row r="32" spans="1:21" hidden="1">
      <c r="A32" s="671" t="s">
        <v>3</v>
      </c>
      <c r="B32" s="671"/>
      <c r="C32" s="499">
        <f t="shared" ref="C32:H32" si="10">SUM(C30:C31)</f>
        <v>0</v>
      </c>
      <c r="D32" s="499">
        <f t="shared" si="10"/>
        <v>0</v>
      </c>
      <c r="E32" s="499">
        <f t="shared" si="10"/>
        <v>0</v>
      </c>
      <c r="F32" s="499">
        <f t="shared" si="10"/>
        <v>0</v>
      </c>
      <c r="G32" s="499">
        <f t="shared" si="10"/>
        <v>0</v>
      </c>
      <c r="H32" s="499">
        <f t="shared" si="10"/>
        <v>0</v>
      </c>
      <c r="I32" s="499">
        <f>SUM(B32:H32)</f>
        <v>0</v>
      </c>
      <c r="J32" s="502"/>
      <c r="K32" s="704"/>
      <c r="L32" s="704"/>
      <c r="M32" s="704"/>
      <c r="N32" s="704"/>
      <c r="O32" s="704"/>
      <c r="P32" s="492"/>
      <c r="Q32" s="492" t="s">
        <v>134</v>
      </c>
      <c r="R32" s="492"/>
      <c r="S32" s="494">
        <f>T11+T19</f>
        <v>192</v>
      </c>
      <c r="T32" s="492"/>
      <c r="U32" s="492"/>
    </row>
    <row r="33" spans="1:21">
      <c r="A33" s="98" t="s">
        <v>26</v>
      </c>
      <c r="B33" s="98"/>
      <c r="C33" s="98"/>
      <c r="D33" s="98"/>
      <c r="E33" s="98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2"/>
      <c r="Q33" s="492" t="s">
        <v>51</v>
      </c>
      <c r="R33" s="492"/>
      <c r="S33" s="494">
        <f>S11+S19</f>
        <v>549</v>
      </c>
      <c r="T33" s="492">
        <f>20+1</f>
        <v>21</v>
      </c>
      <c r="U33" s="492"/>
    </row>
    <row r="34" spans="1:21" s="461" customFormat="1">
      <c r="A34" s="99" t="s">
        <v>57</v>
      </c>
      <c r="B34" s="99">
        <v>32</v>
      </c>
      <c r="C34" s="99">
        <f>13+13</f>
        <v>26</v>
      </c>
      <c r="D34" s="99">
        <v>15</v>
      </c>
      <c r="E34" s="99">
        <v>9</v>
      </c>
      <c r="F34" s="372">
        <v>4</v>
      </c>
      <c r="G34" s="372"/>
      <c r="H34" s="372"/>
      <c r="I34" s="372">
        <f>SUM(B34:H34)</f>
        <v>86</v>
      </c>
      <c r="J34" s="614">
        <f>B34</f>
        <v>32</v>
      </c>
      <c r="K34" s="372">
        <v>40</v>
      </c>
      <c r="L34" s="372">
        <v>40</v>
      </c>
      <c r="M34" s="372">
        <v>40</v>
      </c>
      <c r="N34" s="372">
        <v>40</v>
      </c>
      <c r="O34" s="372">
        <v>40</v>
      </c>
      <c r="P34" s="492"/>
      <c r="Q34" s="492" t="s">
        <v>237</v>
      </c>
      <c r="R34" s="492"/>
      <c r="S34" s="494">
        <f>I40</f>
        <v>220</v>
      </c>
      <c r="T34" s="492"/>
      <c r="U34" s="492"/>
    </row>
    <row r="35" spans="1:21" s="461" customFormat="1">
      <c r="A35" s="259" t="s">
        <v>172</v>
      </c>
      <c r="B35" s="259"/>
      <c r="C35" s="259">
        <f>4+3</f>
        <v>7</v>
      </c>
      <c r="D35" s="259">
        <f>13</f>
        <v>13</v>
      </c>
      <c r="E35" s="259">
        <f>8+4</f>
        <v>12</v>
      </c>
      <c r="F35" s="502">
        <v>8</v>
      </c>
      <c r="G35" s="502"/>
      <c r="H35" s="502"/>
      <c r="I35" s="502">
        <f>SUM(B35:H35)</f>
        <v>40</v>
      </c>
      <c r="J35" s="614">
        <f>B35</f>
        <v>0</v>
      </c>
      <c r="K35" s="704">
        <v>0</v>
      </c>
      <c r="L35" s="704">
        <v>15</v>
      </c>
      <c r="M35" s="704">
        <v>15</v>
      </c>
      <c r="N35" s="704">
        <v>0</v>
      </c>
      <c r="O35" s="704">
        <v>0</v>
      </c>
      <c r="P35" s="497"/>
      <c r="Q35" s="497"/>
      <c r="R35" s="497"/>
      <c r="S35" s="498">
        <f>SUM(S32:S34)</f>
        <v>961</v>
      </c>
      <c r="T35" s="492"/>
      <c r="U35" s="492"/>
    </row>
    <row r="36" spans="1:21">
      <c r="A36" s="95" t="s">
        <v>3</v>
      </c>
      <c r="B36" s="491">
        <f t="shared" ref="B36:H36" si="11">SUM(B34:B35)</f>
        <v>32</v>
      </c>
      <c r="C36" s="491">
        <f t="shared" si="11"/>
        <v>33</v>
      </c>
      <c r="D36" s="491">
        <f t="shared" si="11"/>
        <v>28</v>
      </c>
      <c r="E36" s="491">
        <f t="shared" si="11"/>
        <v>21</v>
      </c>
      <c r="F36" s="491">
        <f t="shared" si="11"/>
        <v>12</v>
      </c>
      <c r="G36" s="491">
        <f t="shared" si="11"/>
        <v>0</v>
      </c>
      <c r="H36" s="491">
        <f t="shared" si="11"/>
        <v>0</v>
      </c>
      <c r="I36" s="503">
        <f>SUM(B36:H36)</f>
        <v>126</v>
      </c>
      <c r="J36" s="503">
        <f>SUM(J34:J35)</f>
        <v>32</v>
      </c>
      <c r="K36" s="503">
        <f t="shared" ref="K36:O36" si="12">SUM(K34:K35)</f>
        <v>40</v>
      </c>
      <c r="L36" s="503">
        <f t="shared" si="12"/>
        <v>55</v>
      </c>
      <c r="M36" s="503">
        <f t="shared" si="12"/>
        <v>55</v>
      </c>
      <c r="N36" s="503">
        <f t="shared" si="12"/>
        <v>40</v>
      </c>
      <c r="O36" s="503">
        <f t="shared" si="12"/>
        <v>40</v>
      </c>
      <c r="P36" s="492"/>
      <c r="Q36" s="492"/>
      <c r="R36" s="492"/>
      <c r="S36" s="492"/>
      <c r="T36" s="492"/>
      <c r="U36" s="492"/>
    </row>
    <row r="37" spans="1:21">
      <c r="A37" s="98" t="s">
        <v>127</v>
      </c>
      <c r="B37" s="98"/>
      <c r="C37" s="98"/>
      <c r="D37" s="98"/>
      <c r="E37" s="98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2"/>
      <c r="Q37" s="492"/>
      <c r="R37" s="492"/>
      <c r="S37" s="492"/>
      <c r="T37" s="492"/>
      <c r="U37" s="492"/>
    </row>
    <row r="38" spans="1:21" hidden="1">
      <c r="A38" s="513" t="s">
        <v>128</v>
      </c>
      <c r="B38" s="513"/>
      <c r="C38" s="513"/>
      <c r="D38" s="513"/>
      <c r="E38" s="513"/>
      <c r="F38" s="491"/>
      <c r="G38" s="491"/>
      <c r="H38" s="491"/>
      <c r="I38" s="491">
        <f>SUM(D38:H38)</f>
        <v>0</v>
      </c>
      <c r="J38" s="491"/>
      <c r="K38" s="491"/>
      <c r="L38" s="491"/>
      <c r="M38" s="491"/>
      <c r="N38" s="491"/>
      <c r="O38" s="491"/>
      <c r="P38" s="700"/>
      <c r="Q38" s="512"/>
      <c r="R38" s="512"/>
      <c r="S38" s="512"/>
      <c r="T38" s="512"/>
      <c r="U38" s="512"/>
    </row>
    <row r="39" spans="1:21">
      <c r="A39" s="513" t="s">
        <v>129</v>
      </c>
      <c r="B39" s="513">
        <v>180</v>
      </c>
      <c r="C39" s="513">
        <v>13</v>
      </c>
      <c r="D39" s="513">
        <v>27</v>
      </c>
      <c r="E39" s="513"/>
      <c r="F39" s="491"/>
      <c r="G39" s="491"/>
      <c r="H39" s="491"/>
      <c r="I39" s="491">
        <f>SUM(B39:H39)</f>
        <v>220</v>
      </c>
      <c r="J39" s="614">
        <f>B39</f>
        <v>180</v>
      </c>
      <c r="K39" s="491">
        <v>180</v>
      </c>
      <c r="L39" s="491">
        <v>180</v>
      </c>
      <c r="M39" s="491">
        <v>180</v>
      </c>
      <c r="N39" s="491">
        <v>180</v>
      </c>
      <c r="O39" s="491">
        <v>180</v>
      </c>
      <c r="P39" s="492"/>
      <c r="Q39" s="492"/>
      <c r="R39" s="492"/>
      <c r="S39" s="492"/>
      <c r="T39" s="492"/>
      <c r="U39" s="492"/>
    </row>
    <row r="40" spans="1:21" s="461" customFormat="1">
      <c r="A40" s="95" t="s">
        <v>3</v>
      </c>
      <c r="B40" s="491">
        <f>SUM(B38:B39)</f>
        <v>180</v>
      </c>
      <c r="C40" s="491">
        <f>SUM(C38:C39)</f>
        <v>13</v>
      </c>
      <c r="D40" s="491">
        <f>SUM(D38:D39)</f>
        <v>27</v>
      </c>
      <c r="E40" s="513"/>
      <c r="F40" s="491">
        <f>SUM(F38:F39)</f>
        <v>0</v>
      </c>
      <c r="G40" s="491">
        <f>SUM(G38:G39)</f>
        <v>0</v>
      </c>
      <c r="H40" s="491"/>
      <c r="I40" s="503">
        <f>SUM(B40:H40)</f>
        <v>220</v>
      </c>
      <c r="J40" s="503">
        <f>SUM(J39)</f>
        <v>180</v>
      </c>
      <c r="K40" s="503">
        <f t="shared" ref="K40:O40" si="13">SUM(K39)</f>
        <v>180</v>
      </c>
      <c r="L40" s="503">
        <f t="shared" si="13"/>
        <v>180</v>
      </c>
      <c r="M40" s="503">
        <f t="shared" si="13"/>
        <v>180</v>
      </c>
      <c r="N40" s="503">
        <f t="shared" si="13"/>
        <v>180</v>
      </c>
      <c r="O40" s="503">
        <f t="shared" si="13"/>
        <v>180</v>
      </c>
      <c r="P40" s="492"/>
      <c r="Q40" s="492"/>
      <c r="R40" s="492"/>
      <c r="S40" s="492"/>
      <c r="T40" s="492"/>
      <c r="U40" s="492"/>
    </row>
    <row r="41" spans="1:21">
      <c r="A41" s="279" t="s">
        <v>36</v>
      </c>
      <c r="B41" s="279">
        <f t="shared" ref="B41:H41" si="14">SUM(B13,B19,B24,B28,B32,B36,B40)</f>
        <v>374</v>
      </c>
      <c r="C41" s="279">
        <f t="shared" si="14"/>
        <v>216</v>
      </c>
      <c r="D41" s="279">
        <f t="shared" si="14"/>
        <v>184</v>
      </c>
      <c r="E41" s="279">
        <f t="shared" si="14"/>
        <v>139</v>
      </c>
      <c r="F41" s="279">
        <f t="shared" si="14"/>
        <v>121</v>
      </c>
      <c r="G41" s="279">
        <f t="shared" si="14"/>
        <v>6</v>
      </c>
      <c r="H41" s="279">
        <f t="shared" si="14"/>
        <v>0</v>
      </c>
      <c r="I41" s="705">
        <f>SUM(B41:H41)</f>
        <v>1040</v>
      </c>
      <c r="J41" s="705">
        <f>J13+J19+J24+J28+J36+J40</f>
        <v>374</v>
      </c>
      <c r="K41" s="705">
        <f t="shared" ref="K41:O41" si="15">K13+K19+K24+K28+K36+K40</f>
        <v>485</v>
      </c>
      <c r="L41" s="705">
        <f t="shared" si="15"/>
        <v>515</v>
      </c>
      <c r="M41" s="705">
        <f t="shared" si="15"/>
        <v>500</v>
      </c>
      <c r="N41" s="705">
        <f t="shared" si="15"/>
        <v>500</v>
      </c>
      <c r="O41" s="705">
        <f t="shared" si="15"/>
        <v>485</v>
      </c>
      <c r="P41" s="502"/>
      <c r="Q41" s="502"/>
      <c r="R41" s="502"/>
      <c r="S41" s="502"/>
      <c r="T41" s="502"/>
      <c r="U41" s="502"/>
    </row>
    <row r="42" spans="1:21" hidden="1">
      <c r="A42" s="646"/>
      <c r="B42" s="646"/>
      <c r="C42" s="702" t="s">
        <v>269</v>
      </c>
      <c r="D42" s="703" t="s">
        <v>270</v>
      </c>
      <c r="E42" s="608" t="s">
        <v>3</v>
      </c>
      <c r="F42" s="531"/>
      <c r="G42" s="502"/>
    </row>
    <row r="43" spans="1:21" hidden="1">
      <c r="A43" s="610" t="s">
        <v>40</v>
      </c>
      <c r="B43" s="610"/>
      <c r="C43" s="609">
        <f>แผนรับบัณฑิตศึกษา!I40</f>
        <v>220</v>
      </c>
      <c r="D43" s="610"/>
      <c r="E43" s="611">
        <f>SUM(C43:D43)</f>
        <v>220</v>
      </c>
      <c r="F43" s="491"/>
      <c r="G43" s="491"/>
      <c r="H43" s="491"/>
      <c r="I43" s="421">
        <f>'ปกติ (2)'!I135+'ปกติ (2)'!I136</f>
        <v>35</v>
      </c>
    </row>
    <row r="44" spans="1:21" hidden="1">
      <c r="A44" s="610" t="s">
        <v>51</v>
      </c>
      <c r="B44" s="610"/>
      <c r="C44" s="609">
        <f>S11</f>
        <v>549</v>
      </c>
      <c r="D44" s="609">
        <f>S16</f>
        <v>78</v>
      </c>
      <c r="E44" s="611">
        <f>SUM(C44:D44)</f>
        <v>627</v>
      </c>
      <c r="F44" s="491"/>
      <c r="G44" s="491"/>
      <c r="H44" s="491"/>
      <c r="I44" s="421">
        <f>SUM(I41:I43)</f>
        <v>1075</v>
      </c>
    </row>
    <row r="45" spans="1:21" hidden="1">
      <c r="A45" s="610" t="s">
        <v>151</v>
      </c>
      <c r="B45" s="610"/>
      <c r="C45" s="609">
        <f>T11</f>
        <v>192</v>
      </c>
      <c r="D45" s="609">
        <f>T16</f>
        <v>1</v>
      </c>
      <c r="E45" s="611">
        <f>SUM(C45:D45)</f>
        <v>193</v>
      </c>
      <c r="F45" s="491"/>
      <c r="G45" s="491"/>
      <c r="H45" s="491"/>
    </row>
    <row r="46" spans="1:21" hidden="1">
      <c r="A46" s="647" t="s">
        <v>3</v>
      </c>
      <c r="B46" s="647"/>
      <c r="C46" s="686">
        <f>SUM(C43:C45)</f>
        <v>961</v>
      </c>
      <c r="D46" s="686">
        <f>SUM(D43:D45)</f>
        <v>79</v>
      </c>
      <c r="E46" s="686">
        <f>SUM(E43:E45)</f>
        <v>1040</v>
      </c>
      <c r="F46" s="491"/>
      <c r="G46" s="491"/>
      <c r="H46" s="491"/>
    </row>
    <row r="47" spans="1:21" hidden="1"/>
    <row r="48" spans="1:21" hidden="1">
      <c r="A48" s="837" t="s">
        <v>353</v>
      </c>
      <c r="B48" s="838"/>
      <c r="C48" s="838"/>
      <c r="D48" s="838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</sheetData>
  <mergeCells count="6">
    <mergeCell ref="A3:A4"/>
    <mergeCell ref="A48:D48"/>
    <mergeCell ref="I3:I4"/>
    <mergeCell ref="K3:O3"/>
    <mergeCell ref="A1:O1"/>
    <mergeCell ref="J3:J4"/>
  </mergeCells>
  <printOptions horizontalCentered="1"/>
  <pageMargins left="0.47244094488188981" right="0.55118110236220474" top="0.98425196850393704" bottom="0.98425196850393704" header="0.51181102362204722" footer="0.51181102362204722"/>
  <pageSetup paperSize="9" scale="89" orientation="portrait" r:id="rId1"/>
  <headerFooter alignWithMargins="0">
    <oddFooter>หน้าที่ &amp;P จาก &amp;N</oddFooter>
  </headerFooter>
  <rowBreaks count="1" manualBreakCount="1">
    <brk id="32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Y107"/>
  <sheetViews>
    <sheetView view="pageBreakPreview" zoomScale="120" zoomScaleSheetLayoutView="120" workbookViewId="0">
      <pane ySplit="4" topLeftCell="A56" activePane="bottomLeft" state="frozen"/>
      <selection pane="bottomLeft" activeCell="T59" sqref="T59"/>
    </sheetView>
  </sheetViews>
  <sheetFormatPr defaultRowHeight="21"/>
  <cols>
    <col min="1" max="1" width="39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5703125" style="421" customWidth="1"/>
    <col min="10" max="10" width="12.140625" style="421" customWidth="1"/>
    <col min="11" max="25" width="7.42578125" style="421" customWidth="1"/>
    <col min="26" max="16384" width="9.140625" style="93"/>
  </cols>
  <sheetData>
    <row r="1" spans="1:25" ht="23.25">
      <c r="A1" s="924" t="s">
        <v>401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5">
      <c r="A3" s="920" t="s">
        <v>0</v>
      </c>
      <c r="B3" s="706" t="s">
        <v>339</v>
      </c>
      <c r="C3" s="706" t="s">
        <v>305</v>
      </c>
      <c r="D3" s="706" t="s">
        <v>266</v>
      </c>
      <c r="E3" s="706" t="s">
        <v>230</v>
      </c>
      <c r="F3" s="706" t="s">
        <v>163</v>
      </c>
      <c r="G3" s="706" t="s">
        <v>132</v>
      </c>
      <c r="H3" s="706" t="s">
        <v>99</v>
      </c>
      <c r="I3" s="922" t="s">
        <v>355</v>
      </c>
      <c r="J3" s="882" t="s">
        <v>363</v>
      </c>
      <c r="K3" s="917" t="s">
        <v>361</v>
      </c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</row>
    <row r="4" spans="1:25">
      <c r="A4" s="921"/>
      <c r="B4" s="746"/>
      <c r="C4" s="746"/>
      <c r="D4" s="746"/>
      <c r="E4" s="746"/>
      <c r="F4" s="705"/>
      <c r="G4" s="705"/>
      <c r="H4" s="705"/>
      <c r="I4" s="923"/>
      <c r="J4" s="882"/>
      <c r="K4" s="699" t="s">
        <v>356</v>
      </c>
      <c r="L4" s="699" t="s">
        <v>357</v>
      </c>
      <c r="M4" s="699" t="s">
        <v>358</v>
      </c>
      <c r="N4" s="699" t="s">
        <v>359</v>
      </c>
      <c r="O4" s="699" t="s">
        <v>360</v>
      </c>
      <c r="P4" s="699" t="s">
        <v>386</v>
      </c>
      <c r="Q4" s="699" t="s">
        <v>387</v>
      </c>
      <c r="R4" s="699" t="s">
        <v>388</v>
      </c>
      <c r="S4" s="699" t="s">
        <v>389</v>
      </c>
      <c r="T4" s="699" t="s">
        <v>390</v>
      </c>
      <c r="U4" s="699" t="s">
        <v>391</v>
      </c>
      <c r="V4" s="699" t="s">
        <v>392</v>
      </c>
      <c r="W4" s="699" t="s">
        <v>393</v>
      </c>
      <c r="X4" s="699" t="s">
        <v>394</v>
      </c>
      <c r="Y4" s="699" t="s">
        <v>395</v>
      </c>
    </row>
    <row r="5" spans="1:25">
      <c r="A5" s="505" t="s">
        <v>5</v>
      </c>
      <c r="B5" s="505"/>
      <c r="C5" s="505"/>
      <c r="D5" s="505"/>
      <c r="E5" s="505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</row>
    <row r="6" spans="1:25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</row>
    <row r="7" spans="1:25" s="461" customFormat="1">
      <c r="A7" s="659" t="s">
        <v>71</v>
      </c>
      <c r="B7" s="659">
        <f>35+30</f>
        <v>65</v>
      </c>
      <c r="C7" s="659">
        <f>19+46</f>
        <v>65</v>
      </c>
      <c r="D7" s="659">
        <v>19</v>
      </c>
      <c r="E7" s="659">
        <v>5</v>
      </c>
      <c r="F7" s="701">
        <f>4+4+5</f>
        <v>13</v>
      </c>
      <c r="G7" s="701"/>
      <c r="H7" s="701"/>
      <c r="I7" s="701">
        <f>SUM(B7:H7)</f>
        <v>167</v>
      </c>
      <c r="J7" s="701">
        <f t="shared" ref="J7:J12" si="0">B7</f>
        <v>65</v>
      </c>
      <c r="K7" s="701">
        <v>40</v>
      </c>
      <c r="L7" s="701">
        <v>40</v>
      </c>
      <c r="M7" s="701">
        <v>40</v>
      </c>
      <c r="N7" s="701">
        <v>40</v>
      </c>
      <c r="O7" s="701">
        <v>40</v>
      </c>
      <c r="P7" s="701"/>
      <c r="Q7" s="701"/>
      <c r="R7" s="701"/>
      <c r="S7" s="701"/>
      <c r="T7" s="701"/>
      <c r="U7" s="701"/>
      <c r="V7" s="701"/>
      <c r="W7" s="701"/>
      <c r="X7" s="701"/>
      <c r="Y7" s="701"/>
    </row>
    <row r="8" spans="1:25" s="461" customFormat="1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>
        <f t="shared" ref="I8:I12" si="1">SUM(B8:H8)</f>
        <v>46</v>
      </c>
      <c r="J8" s="614">
        <f t="shared" si="0"/>
        <v>46</v>
      </c>
      <c r="K8" s="614">
        <v>40</v>
      </c>
      <c r="L8" s="614">
        <v>40</v>
      </c>
      <c r="M8" s="614">
        <v>40</v>
      </c>
      <c r="N8" s="614">
        <v>40</v>
      </c>
      <c r="O8" s="614">
        <v>40</v>
      </c>
      <c r="P8" s="614"/>
      <c r="Q8" s="614"/>
      <c r="R8" s="614"/>
      <c r="S8" s="614"/>
      <c r="T8" s="614"/>
      <c r="U8" s="614"/>
      <c r="V8" s="614"/>
      <c r="W8" s="614"/>
      <c r="X8" s="614"/>
      <c r="Y8" s="614"/>
    </row>
    <row r="9" spans="1:25" s="461" customFormat="1">
      <c r="A9" s="250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 t="shared" si="1"/>
        <v>69</v>
      </c>
      <c r="J9" s="614">
        <f t="shared" si="0"/>
        <v>0</v>
      </c>
      <c r="K9" s="614">
        <v>40</v>
      </c>
      <c r="L9" s="614">
        <v>40</v>
      </c>
      <c r="M9" s="614">
        <v>40</v>
      </c>
      <c r="N9" s="614">
        <v>40</v>
      </c>
      <c r="O9" s="614">
        <v>40</v>
      </c>
      <c r="P9" s="614"/>
      <c r="Q9" s="614"/>
      <c r="R9" s="614"/>
      <c r="S9" s="614"/>
      <c r="T9" s="614"/>
      <c r="U9" s="614"/>
      <c r="V9" s="614"/>
      <c r="W9" s="614"/>
      <c r="X9" s="614"/>
      <c r="Y9" s="614"/>
    </row>
    <row r="10" spans="1:25" s="461" customFormat="1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f t="shared" si="1"/>
        <v>58</v>
      </c>
      <c r="J10" s="614">
        <f t="shared" si="0"/>
        <v>17</v>
      </c>
      <c r="K10" s="614">
        <v>40</v>
      </c>
      <c r="L10" s="614">
        <v>40</v>
      </c>
      <c r="M10" s="614">
        <v>40</v>
      </c>
      <c r="N10" s="614">
        <v>40</v>
      </c>
      <c r="O10" s="614">
        <v>40</v>
      </c>
      <c r="P10" s="614"/>
      <c r="Q10" s="614"/>
      <c r="R10" s="614"/>
      <c r="S10" s="614"/>
      <c r="T10" s="614"/>
      <c r="U10" s="614"/>
      <c r="V10" s="614"/>
      <c r="W10" s="614"/>
      <c r="X10" s="614"/>
      <c r="Y10" s="614"/>
    </row>
    <row r="11" spans="1:25" s="461" customFormat="1">
      <c r="A11" s="250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>
        <f t="shared" si="1"/>
        <v>71</v>
      </c>
      <c r="J11" s="614">
        <f t="shared" si="0"/>
        <v>0</v>
      </c>
      <c r="K11" s="614">
        <v>0</v>
      </c>
      <c r="L11" s="614">
        <v>0</v>
      </c>
      <c r="M11" s="614">
        <v>0</v>
      </c>
      <c r="N11" s="614">
        <v>0</v>
      </c>
      <c r="O11" s="614">
        <v>0</v>
      </c>
      <c r="P11" s="614">
        <v>0</v>
      </c>
      <c r="Q11" s="614">
        <v>0</v>
      </c>
      <c r="R11" s="614">
        <v>0</v>
      </c>
      <c r="S11" s="614">
        <v>0</v>
      </c>
      <c r="T11" s="614">
        <v>0</v>
      </c>
      <c r="U11" s="614">
        <v>0</v>
      </c>
      <c r="V11" s="614">
        <v>0</v>
      </c>
      <c r="W11" s="614">
        <v>0</v>
      </c>
      <c r="X11" s="614">
        <v>0</v>
      </c>
      <c r="Y11" s="614">
        <v>0</v>
      </c>
    </row>
    <row r="12" spans="1:25" s="461" customFormat="1">
      <c r="A12" s="100" t="s">
        <v>262</v>
      </c>
      <c r="B12" s="100"/>
      <c r="C12" s="100">
        <f>1+3</f>
        <v>4</v>
      </c>
      <c r="D12" s="100">
        <v>10</v>
      </c>
      <c r="E12" s="100">
        <v>24</v>
      </c>
      <c r="F12" s="614"/>
      <c r="G12" s="614"/>
      <c r="H12" s="614"/>
      <c r="I12" s="614">
        <f t="shared" si="1"/>
        <v>38</v>
      </c>
      <c r="J12" s="614">
        <f t="shared" si="0"/>
        <v>0</v>
      </c>
      <c r="K12" s="614">
        <v>35</v>
      </c>
      <c r="L12" s="614">
        <v>35</v>
      </c>
      <c r="M12" s="614">
        <v>35</v>
      </c>
      <c r="N12" s="614">
        <v>35</v>
      </c>
      <c r="O12" s="614">
        <v>35</v>
      </c>
      <c r="P12" s="614"/>
      <c r="Q12" s="614"/>
      <c r="R12" s="614"/>
      <c r="S12" s="614"/>
      <c r="T12" s="614"/>
      <c r="U12" s="614"/>
      <c r="V12" s="614"/>
      <c r="W12" s="614"/>
      <c r="X12" s="614"/>
      <c r="Y12" s="614"/>
    </row>
    <row r="13" spans="1:25" s="461" customFormat="1">
      <c r="A13" s="681" t="s">
        <v>396</v>
      </c>
      <c r="B13" s="100"/>
      <c r="C13" s="100"/>
      <c r="D13" s="100"/>
      <c r="E13" s="100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</row>
    <row r="14" spans="1:25" s="461" customFormat="1">
      <c r="A14" s="100"/>
      <c r="B14" s="100"/>
      <c r="C14" s="100"/>
      <c r="D14" s="100"/>
      <c r="E14" s="100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</row>
    <row r="15" spans="1:25" s="461" customFormat="1">
      <c r="A15" s="100"/>
      <c r="B15" s="100"/>
      <c r="C15" s="100"/>
      <c r="D15" s="100"/>
      <c r="E15" s="100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</row>
    <row r="16" spans="1:25" s="461" customFormat="1">
      <c r="A16" s="100"/>
      <c r="B16" s="100"/>
      <c r="C16" s="100"/>
      <c r="D16" s="100"/>
      <c r="E16" s="100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</row>
    <row r="17" spans="1:25" s="461" customFormat="1">
      <c r="A17" s="100"/>
      <c r="B17" s="100"/>
      <c r="C17" s="100"/>
      <c r="D17" s="100"/>
      <c r="E17" s="100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</row>
    <row r="18" spans="1:25" s="461" customFormat="1">
      <c r="A18" s="401"/>
      <c r="B18" s="401"/>
      <c r="C18" s="401"/>
      <c r="D18" s="401"/>
      <c r="E18" s="401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</row>
    <row r="19" spans="1:25">
      <c r="A19" s="95" t="s">
        <v>3</v>
      </c>
      <c r="B19" s="503">
        <f>SUM(B7:B12)</f>
        <v>128</v>
      </c>
      <c r="C19" s="503">
        <f>SUM(C7:C12)</f>
        <v>119</v>
      </c>
      <c r="D19" s="503">
        <f>SUM(D7:D12)</f>
        <v>76</v>
      </c>
      <c r="E19" s="503">
        <f t="shared" ref="E19:H19" si="2">SUM(E7:E12)</f>
        <v>64</v>
      </c>
      <c r="F19" s="503">
        <f t="shared" si="2"/>
        <v>62</v>
      </c>
      <c r="G19" s="503">
        <f t="shared" si="2"/>
        <v>0</v>
      </c>
      <c r="H19" s="503">
        <f t="shared" si="2"/>
        <v>0</v>
      </c>
      <c r="I19" s="503">
        <f>SUM(B19:H19)</f>
        <v>449</v>
      </c>
      <c r="J19" s="503">
        <f>SUM(J7:J12)</f>
        <v>128</v>
      </c>
      <c r="K19" s="503">
        <f t="shared" ref="K19:O19" si="3">SUM(K7:K12)</f>
        <v>195</v>
      </c>
      <c r="L19" s="503">
        <f t="shared" si="3"/>
        <v>195</v>
      </c>
      <c r="M19" s="503">
        <f t="shared" si="3"/>
        <v>195</v>
      </c>
      <c r="N19" s="503">
        <f t="shared" si="3"/>
        <v>195</v>
      </c>
      <c r="O19" s="503">
        <f t="shared" si="3"/>
        <v>195</v>
      </c>
      <c r="P19" s="503">
        <f t="shared" ref="P19:T19" si="4">SUM(P7:P12)</f>
        <v>0</v>
      </c>
      <c r="Q19" s="503">
        <f t="shared" si="4"/>
        <v>0</v>
      </c>
      <c r="R19" s="503">
        <f t="shared" si="4"/>
        <v>0</v>
      </c>
      <c r="S19" s="503">
        <f t="shared" si="4"/>
        <v>0</v>
      </c>
      <c r="T19" s="503">
        <f t="shared" si="4"/>
        <v>0</v>
      </c>
      <c r="U19" s="503">
        <f t="shared" ref="U19:Y19" si="5">SUM(U7:U12)</f>
        <v>0</v>
      </c>
      <c r="V19" s="503">
        <f t="shared" si="5"/>
        <v>0</v>
      </c>
      <c r="W19" s="503">
        <f t="shared" si="5"/>
        <v>0</v>
      </c>
      <c r="X19" s="503">
        <f t="shared" si="5"/>
        <v>0</v>
      </c>
      <c r="Y19" s="503">
        <f t="shared" si="5"/>
        <v>0</v>
      </c>
    </row>
    <row r="20" spans="1:25">
      <c r="A20" s="505" t="s">
        <v>134</v>
      </c>
      <c r="B20" s="505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</row>
    <row r="21" spans="1:25" s="461" customFormat="1">
      <c r="A21" s="659" t="s">
        <v>82</v>
      </c>
      <c r="B21" s="659"/>
      <c r="C21" s="659"/>
      <c r="D21" s="659"/>
      <c r="E21" s="659"/>
      <c r="F21" s="701">
        <f>4+3</f>
        <v>7</v>
      </c>
      <c r="G21" s="701">
        <v>5</v>
      </c>
      <c r="H21" s="701"/>
      <c r="I21" s="701">
        <f>SUM(B21:H21)</f>
        <v>12</v>
      </c>
      <c r="J21" s="701">
        <f>B21</f>
        <v>0</v>
      </c>
      <c r="K21" s="701">
        <v>0</v>
      </c>
      <c r="L21" s="701">
        <v>0</v>
      </c>
      <c r="M21" s="701">
        <v>0</v>
      </c>
      <c r="N21" s="701">
        <v>0</v>
      </c>
      <c r="O21" s="701">
        <v>0</v>
      </c>
      <c r="P21" s="701">
        <v>0</v>
      </c>
      <c r="Q21" s="701">
        <v>0</v>
      </c>
      <c r="R21" s="701">
        <v>0</v>
      </c>
      <c r="S21" s="701">
        <v>0</v>
      </c>
      <c r="T21" s="701">
        <v>0</v>
      </c>
      <c r="U21" s="701">
        <v>0</v>
      </c>
      <c r="V21" s="701">
        <v>0</v>
      </c>
      <c r="W21" s="701">
        <v>0</v>
      </c>
      <c r="X21" s="701">
        <v>0</v>
      </c>
      <c r="Y21" s="701">
        <v>0</v>
      </c>
    </row>
    <row r="22" spans="1:25" s="461" customFormat="1">
      <c r="A22" s="250" t="s">
        <v>282</v>
      </c>
      <c r="B22" s="250">
        <v>12</v>
      </c>
      <c r="C22" s="250">
        <f>17+1</f>
        <v>18</v>
      </c>
      <c r="D22" s="250">
        <f>14+2</f>
        <v>16</v>
      </c>
      <c r="E22" s="250">
        <v>13</v>
      </c>
      <c r="F22" s="614"/>
      <c r="G22" s="614"/>
      <c r="H22" s="614"/>
      <c r="I22" s="614">
        <f>SUM(B22:H22)</f>
        <v>59</v>
      </c>
      <c r="J22" s="614">
        <f>B22</f>
        <v>12</v>
      </c>
      <c r="K22" s="614">
        <v>15</v>
      </c>
      <c r="L22" s="614">
        <v>15</v>
      </c>
      <c r="M22" s="614">
        <v>15</v>
      </c>
      <c r="N22" s="614">
        <v>15</v>
      </c>
      <c r="O22" s="614">
        <v>15</v>
      </c>
      <c r="P22" s="614"/>
      <c r="Q22" s="614"/>
      <c r="R22" s="614"/>
      <c r="S22" s="614"/>
      <c r="T22" s="614"/>
      <c r="U22" s="614"/>
      <c r="V22" s="614"/>
      <c r="W22" s="614"/>
      <c r="X22" s="614"/>
      <c r="Y22" s="614"/>
    </row>
    <row r="23" spans="1:25" s="461" customFormat="1">
      <c r="A23" s="250" t="s">
        <v>97</v>
      </c>
      <c r="B23" s="250">
        <v>7</v>
      </c>
      <c r="C23" s="250">
        <v>11</v>
      </c>
      <c r="D23" s="250"/>
      <c r="E23" s="250"/>
      <c r="F23" s="614">
        <v>12</v>
      </c>
      <c r="G23" s="614"/>
      <c r="H23" s="614"/>
      <c r="I23" s="614">
        <f>SUM(B23:H23)</f>
        <v>30</v>
      </c>
      <c r="J23" s="614">
        <f>B23</f>
        <v>7</v>
      </c>
      <c r="K23" s="614">
        <v>0</v>
      </c>
      <c r="L23" s="614">
        <v>15</v>
      </c>
      <c r="M23" s="614">
        <v>0</v>
      </c>
      <c r="N23" s="614">
        <v>15</v>
      </c>
      <c r="O23" s="614">
        <v>0</v>
      </c>
      <c r="P23" s="614"/>
      <c r="Q23" s="614"/>
      <c r="R23" s="614"/>
      <c r="S23" s="614"/>
      <c r="T23" s="614"/>
      <c r="U23" s="614"/>
      <c r="V23" s="614"/>
      <c r="W23" s="614"/>
      <c r="X23" s="614"/>
      <c r="Y23" s="614"/>
    </row>
    <row r="24" spans="1:25" s="461" customFormat="1">
      <c r="A24" s="250" t="s">
        <v>98</v>
      </c>
      <c r="B24" s="250">
        <v>7</v>
      </c>
      <c r="C24" s="250">
        <f>6+4</f>
        <v>10</v>
      </c>
      <c r="D24" s="250">
        <v>19</v>
      </c>
      <c r="E24" s="250">
        <v>9</v>
      </c>
      <c r="F24" s="614">
        <v>5</v>
      </c>
      <c r="G24" s="614">
        <v>1</v>
      </c>
      <c r="H24" s="614"/>
      <c r="I24" s="614">
        <f>SUM(B24:H24)</f>
        <v>51</v>
      </c>
      <c r="J24" s="614">
        <f>B24</f>
        <v>7</v>
      </c>
      <c r="K24" s="614">
        <v>15</v>
      </c>
      <c r="L24" s="614">
        <v>15</v>
      </c>
      <c r="M24" s="614">
        <v>15</v>
      </c>
      <c r="N24" s="614">
        <v>15</v>
      </c>
      <c r="O24" s="614">
        <v>15</v>
      </c>
      <c r="P24" s="614"/>
      <c r="Q24" s="614"/>
      <c r="R24" s="614"/>
      <c r="S24" s="614"/>
      <c r="T24" s="614"/>
      <c r="U24" s="614"/>
      <c r="V24" s="614"/>
      <c r="W24" s="614"/>
      <c r="X24" s="614"/>
      <c r="Y24" s="614"/>
    </row>
    <row r="25" spans="1:25" s="461" customFormat="1">
      <c r="A25" s="681" t="s">
        <v>396</v>
      </c>
      <c r="B25" s="250"/>
      <c r="C25" s="250"/>
      <c r="D25" s="250"/>
      <c r="E25" s="250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</row>
    <row r="26" spans="1:25" s="461" customFormat="1">
      <c r="A26" s="250"/>
      <c r="B26" s="250"/>
      <c r="C26" s="250"/>
      <c r="D26" s="250"/>
      <c r="E26" s="250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</row>
    <row r="27" spans="1:25" s="461" customFormat="1">
      <c r="A27" s="250"/>
      <c r="B27" s="250"/>
      <c r="C27" s="250"/>
      <c r="D27" s="250"/>
      <c r="E27" s="250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</row>
    <row r="28" spans="1:25" s="461" customFormat="1">
      <c r="A28" s="250"/>
      <c r="B28" s="250"/>
      <c r="C28" s="250"/>
      <c r="D28" s="250"/>
      <c r="E28" s="250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</row>
    <row r="29" spans="1:25" s="461" customFormat="1">
      <c r="A29" s="665"/>
      <c r="B29" s="665"/>
      <c r="C29" s="665"/>
      <c r="D29" s="665"/>
      <c r="E29" s="665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737"/>
      <c r="Y29" s="737"/>
    </row>
    <row r="30" spans="1:25" s="698" customFormat="1">
      <c r="A30" s="95" t="s">
        <v>3</v>
      </c>
      <c r="B30" s="503">
        <f>SUM(B21:B24)</f>
        <v>26</v>
      </c>
      <c r="C30" s="503">
        <f>SUM(C21:C24)</f>
        <v>39</v>
      </c>
      <c r="D30" s="503">
        <f>SUM(D21:D24)</f>
        <v>35</v>
      </c>
      <c r="E30" s="503">
        <f t="shared" ref="E30:H30" si="6">SUM(E21:E24)</f>
        <v>22</v>
      </c>
      <c r="F30" s="503">
        <f t="shared" si="6"/>
        <v>24</v>
      </c>
      <c r="G30" s="503">
        <f t="shared" si="6"/>
        <v>6</v>
      </c>
      <c r="H30" s="503">
        <f t="shared" si="6"/>
        <v>0</v>
      </c>
      <c r="I30" s="503">
        <f>SUM(B30:H30)</f>
        <v>152</v>
      </c>
      <c r="J30" s="503">
        <f>SUM(J21:J24)</f>
        <v>26</v>
      </c>
      <c r="K30" s="503">
        <f t="shared" ref="K30:O30" si="7">SUM(K21:K24)</f>
        <v>30</v>
      </c>
      <c r="L30" s="503">
        <f t="shared" si="7"/>
        <v>45</v>
      </c>
      <c r="M30" s="503">
        <f t="shared" si="7"/>
        <v>30</v>
      </c>
      <c r="N30" s="503">
        <f t="shared" si="7"/>
        <v>45</v>
      </c>
      <c r="O30" s="503">
        <f t="shared" si="7"/>
        <v>30</v>
      </c>
      <c r="P30" s="503">
        <f t="shared" ref="P30:T30" si="8">SUM(P21:P24)</f>
        <v>0</v>
      </c>
      <c r="Q30" s="503">
        <f t="shared" si="8"/>
        <v>0</v>
      </c>
      <c r="R30" s="503">
        <f t="shared" si="8"/>
        <v>0</v>
      </c>
      <c r="S30" s="503">
        <f t="shared" si="8"/>
        <v>0</v>
      </c>
      <c r="T30" s="503">
        <f t="shared" si="8"/>
        <v>0</v>
      </c>
      <c r="U30" s="503">
        <f t="shared" ref="U30:Y30" si="9">SUM(U21:U24)</f>
        <v>0</v>
      </c>
      <c r="V30" s="503">
        <f t="shared" si="9"/>
        <v>0</v>
      </c>
      <c r="W30" s="503">
        <f t="shared" si="9"/>
        <v>0</v>
      </c>
      <c r="X30" s="503">
        <f t="shared" si="9"/>
        <v>0</v>
      </c>
      <c r="Y30" s="503">
        <f t="shared" si="9"/>
        <v>0</v>
      </c>
    </row>
    <row r="31" spans="1:25">
      <c r="A31" s="98" t="s">
        <v>11</v>
      </c>
      <c r="B31" s="98"/>
      <c r="C31" s="98"/>
      <c r="D31" s="98"/>
      <c r="E31" s="98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</row>
    <row r="32" spans="1:25" s="461" customFormat="1">
      <c r="A32" s="398" t="s">
        <v>173</v>
      </c>
      <c r="B32" s="398"/>
      <c r="C32" s="398">
        <f>0+2</f>
        <v>2</v>
      </c>
      <c r="D32" s="398"/>
      <c r="E32" s="398">
        <f>1+0</f>
        <v>1</v>
      </c>
      <c r="F32" s="701"/>
      <c r="G32" s="701"/>
      <c r="H32" s="701"/>
      <c r="I32" s="701">
        <f>SUM(B32:H32)</f>
        <v>3</v>
      </c>
      <c r="J32" s="701">
        <f>B32</f>
        <v>0</v>
      </c>
      <c r="K32" s="701">
        <v>10</v>
      </c>
      <c r="L32" s="701">
        <v>10</v>
      </c>
      <c r="M32" s="701">
        <v>10</v>
      </c>
      <c r="N32" s="701">
        <v>10</v>
      </c>
      <c r="O32" s="701">
        <v>10</v>
      </c>
      <c r="P32" s="701"/>
      <c r="Q32" s="701"/>
      <c r="R32" s="701"/>
      <c r="S32" s="701"/>
      <c r="T32" s="701"/>
      <c r="U32" s="701"/>
      <c r="V32" s="701"/>
      <c r="W32" s="701"/>
      <c r="X32" s="701"/>
      <c r="Y32" s="701"/>
    </row>
    <row r="33" spans="1:25" s="461" customFormat="1">
      <c r="A33" s="100" t="s">
        <v>171</v>
      </c>
      <c r="B33" s="100"/>
      <c r="C33" s="100"/>
      <c r="D33" s="100">
        <v>1</v>
      </c>
      <c r="E33" s="100"/>
      <c r="F33" s="614"/>
      <c r="G33" s="614"/>
      <c r="H33" s="614"/>
      <c r="I33" s="614">
        <f>SUM(B33:H33)</f>
        <v>1</v>
      </c>
      <c r="J33" s="614">
        <f>B33</f>
        <v>0</v>
      </c>
      <c r="K33" s="614">
        <v>10</v>
      </c>
      <c r="L33" s="614">
        <v>10</v>
      </c>
      <c r="M33" s="614">
        <v>10</v>
      </c>
      <c r="N33" s="614">
        <v>10</v>
      </c>
      <c r="O33" s="614">
        <v>10</v>
      </c>
      <c r="P33" s="614"/>
      <c r="Q33" s="614"/>
      <c r="R33" s="614"/>
      <c r="S33" s="614"/>
      <c r="T33" s="614"/>
      <c r="U33" s="614"/>
      <c r="V33" s="614"/>
      <c r="W33" s="614"/>
      <c r="X33" s="614"/>
      <c r="Y33" s="614"/>
    </row>
    <row r="34" spans="1:25" s="461" customFormat="1">
      <c r="A34" s="100" t="s">
        <v>174</v>
      </c>
      <c r="B34" s="100">
        <v>8</v>
      </c>
      <c r="C34" s="100">
        <f>9+1</f>
        <v>10</v>
      </c>
      <c r="D34" s="100">
        <v>17</v>
      </c>
      <c r="E34" s="100">
        <f>14+10</f>
        <v>24</v>
      </c>
      <c r="F34" s="614">
        <v>16</v>
      </c>
      <c r="G34" s="614"/>
      <c r="H34" s="614"/>
      <c r="I34" s="614">
        <f>SUM(B34:H34)</f>
        <v>75</v>
      </c>
      <c r="J34" s="614">
        <f>B34</f>
        <v>8</v>
      </c>
      <c r="K34" s="614">
        <v>20</v>
      </c>
      <c r="L34" s="614">
        <v>20</v>
      </c>
      <c r="M34" s="614">
        <v>20</v>
      </c>
      <c r="N34" s="614">
        <v>20</v>
      </c>
      <c r="O34" s="614">
        <v>20</v>
      </c>
      <c r="P34" s="614"/>
      <c r="Q34" s="614"/>
      <c r="R34" s="614"/>
      <c r="S34" s="614"/>
      <c r="T34" s="614"/>
      <c r="U34" s="614"/>
      <c r="V34" s="614"/>
      <c r="W34" s="614"/>
      <c r="X34" s="614"/>
      <c r="Y34" s="614"/>
    </row>
    <row r="35" spans="1:25" s="461" customFormat="1">
      <c r="A35" s="681" t="s">
        <v>396</v>
      </c>
      <c r="B35" s="100"/>
      <c r="C35" s="100"/>
      <c r="D35" s="100"/>
      <c r="E35" s="100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</row>
    <row r="36" spans="1:25" s="461" customFormat="1">
      <c r="A36" s="100"/>
      <c r="B36" s="100"/>
      <c r="C36" s="100"/>
      <c r="D36" s="100"/>
      <c r="E36" s="100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</row>
    <row r="37" spans="1:25" s="542" customFormat="1">
      <c r="A37" s="100"/>
      <c r="B37" s="100"/>
      <c r="C37" s="100"/>
      <c r="D37" s="100"/>
      <c r="E37" s="100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</row>
    <row r="38" spans="1:25" s="461" customFormat="1">
      <c r="A38" s="100"/>
      <c r="B38" s="100"/>
      <c r="C38" s="100"/>
      <c r="D38" s="100"/>
      <c r="E38" s="100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</row>
    <row r="39" spans="1:25" s="461" customFormat="1">
      <c r="A39" s="401"/>
      <c r="B39" s="401"/>
      <c r="C39" s="401"/>
      <c r="D39" s="401"/>
      <c r="E39" s="401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7"/>
      <c r="T39" s="737"/>
      <c r="U39" s="737"/>
      <c r="V39" s="737"/>
      <c r="W39" s="737"/>
      <c r="X39" s="737"/>
      <c r="Y39" s="737"/>
    </row>
    <row r="40" spans="1:25">
      <c r="A40" s="95" t="s">
        <v>3</v>
      </c>
      <c r="B40" s="491">
        <f t="shared" ref="B40:H40" si="10">SUM(B32:B34)</f>
        <v>8</v>
      </c>
      <c r="C40" s="491">
        <f t="shared" si="10"/>
        <v>12</v>
      </c>
      <c r="D40" s="491">
        <f t="shared" si="10"/>
        <v>18</v>
      </c>
      <c r="E40" s="491">
        <f t="shared" si="10"/>
        <v>25</v>
      </c>
      <c r="F40" s="491">
        <f t="shared" si="10"/>
        <v>16</v>
      </c>
      <c r="G40" s="491">
        <f t="shared" si="10"/>
        <v>0</v>
      </c>
      <c r="H40" s="491">
        <f t="shared" si="10"/>
        <v>0</v>
      </c>
      <c r="I40" s="503">
        <f>SUM(B40:H40)</f>
        <v>79</v>
      </c>
      <c r="J40" s="503">
        <f>SUM(J32:J34)</f>
        <v>8</v>
      </c>
      <c r="K40" s="503">
        <f t="shared" ref="K40:O40" si="11">SUM(K32:K34)</f>
        <v>40</v>
      </c>
      <c r="L40" s="503">
        <f t="shared" si="11"/>
        <v>40</v>
      </c>
      <c r="M40" s="503">
        <f t="shared" si="11"/>
        <v>40</v>
      </c>
      <c r="N40" s="503">
        <f t="shared" si="11"/>
        <v>40</v>
      </c>
      <c r="O40" s="503">
        <f t="shared" si="11"/>
        <v>40</v>
      </c>
      <c r="P40" s="503">
        <f t="shared" ref="P40:T40" si="12">SUM(P32:P34)</f>
        <v>0</v>
      </c>
      <c r="Q40" s="503">
        <f t="shared" si="12"/>
        <v>0</v>
      </c>
      <c r="R40" s="503">
        <f t="shared" si="12"/>
        <v>0</v>
      </c>
      <c r="S40" s="503">
        <f t="shared" si="12"/>
        <v>0</v>
      </c>
      <c r="T40" s="503">
        <f t="shared" si="12"/>
        <v>0</v>
      </c>
      <c r="U40" s="503">
        <f t="shared" ref="U40:Y40" si="13">SUM(U32:U34)</f>
        <v>0</v>
      </c>
      <c r="V40" s="503">
        <f t="shared" si="13"/>
        <v>0</v>
      </c>
      <c r="W40" s="503">
        <f t="shared" si="13"/>
        <v>0</v>
      </c>
      <c r="X40" s="503">
        <f t="shared" si="13"/>
        <v>0</v>
      </c>
      <c r="Y40" s="503">
        <f t="shared" si="13"/>
        <v>0</v>
      </c>
    </row>
    <row r="41" spans="1:25">
      <c r="A41" s="507" t="s">
        <v>19</v>
      </c>
      <c r="B41" s="507"/>
      <c r="C41" s="507"/>
      <c r="D41" s="507"/>
      <c r="E41" s="507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</row>
    <row r="42" spans="1:25" s="461" customFormat="1">
      <c r="A42" s="398" t="s">
        <v>74</v>
      </c>
      <c r="B42" s="398"/>
      <c r="C42" s="398"/>
      <c r="D42" s="398"/>
      <c r="E42" s="398">
        <v>7</v>
      </c>
      <c r="F42" s="701">
        <v>7</v>
      </c>
      <c r="G42" s="701"/>
      <c r="H42" s="701"/>
      <c r="I42" s="701">
        <f>SUM(B42:H42)</f>
        <v>14</v>
      </c>
      <c r="J42" s="701">
        <f>B42</f>
        <v>0</v>
      </c>
      <c r="K42" s="701">
        <v>0</v>
      </c>
      <c r="L42" s="701">
        <v>0</v>
      </c>
      <c r="M42" s="701">
        <v>0</v>
      </c>
      <c r="N42" s="701">
        <v>0</v>
      </c>
      <c r="O42" s="701">
        <v>0</v>
      </c>
      <c r="P42" s="701">
        <v>0</v>
      </c>
      <c r="Q42" s="701">
        <v>0</v>
      </c>
      <c r="R42" s="701">
        <v>0</v>
      </c>
      <c r="S42" s="701">
        <v>0</v>
      </c>
      <c r="T42" s="701">
        <v>0</v>
      </c>
      <c r="U42" s="701">
        <v>0</v>
      </c>
      <c r="V42" s="701">
        <v>0</v>
      </c>
      <c r="W42" s="701">
        <v>0</v>
      </c>
      <c r="X42" s="701">
        <v>0</v>
      </c>
      <c r="Y42" s="701">
        <v>0</v>
      </c>
    </row>
    <row r="43" spans="1:25" s="461" customFormat="1">
      <c r="A43" s="681" t="s">
        <v>396</v>
      </c>
      <c r="B43" s="100"/>
      <c r="C43" s="100"/>
      <c r="D43" s="100"/>
      <c r="E43" s="100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</row>
    <row r="44" spans="1:25" s="461" customFormat="1">
      <c r="A44" s="100"/>
      <c r="B44" s="100"/>
      <c r="C44" s="100"/>
      <c r="D44" s="100"/>
      <c r="E44" s="100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</row>
    <row r="45" spans="1:25" s="461" customFormat="1">
      <c r="A45" s="100"/>
      <c r="B45" s="100"/>
      <c r="C45" s="100"/>
      <c r="D45" s="100"/>
      <c r="E45" s="100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</row>
    <row r="46" spans="1:25" s="461" customFormat="1">
      <c r="A46" s="100"/>
      <c r="B46" s="100"/>
      <c r="C46" s="100"/>
      <c r="D46" s="100"/>
      <c r="E46" s="100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</row>
    <row r="47" spans="1:25">
      <c r="A47" s="401"/>
      <c r="B47" s="401"/>
      <c r="C47" s="401"/>
      <c r="D47" s="401"/>
      <c r="E47" s="401"/>
      <c r="F47" s="737"/>
      <c r="G47" s="737"/>
      <c r="H47" s="737"/>
      <c r="I47" s="737"/>
      <c r="J47" s="737"/>
      <c r="K47" s="737"/>
      <c r="L47" s="737"/>
      <c r="M47" s="737"/>
      <c r="N47" s="737"/>
      <c r="O47" s="737"/>
      <c r="P47" s="737"/>
      <c r="Q47" s="737"/>
      <c r="R47" s="737"/>
      <c r="S47" s="737"/>
      <c r="T47" s="737"/>
      <c r="U47" s="737"/>
      <c r="V47" s="737"/>
      <c r="W47" s="737"/>
      <c r="X47" s="737"/>
      <c r="Y47" s="737"/>
    </row>
    <row r="48" spans="1:25">
      <c r="A48" s="95" t="s">
        <v>3</v>
      </c>
      <c r="B48" s="491">
        <f t="shared" ref="B48:H48" si="14">SUM(B42:B47)</f>
        <v>0</v>
      </c>
      <c r="C48" s="491">
        <f t="shared" si="14"/>
        <v>0</v>
      </c>
      <c r="D48" s="491">
        <f t="shared" si="14"/>
        <v>0</v>
      </c>
      <c r="E48" s="491">
        <f t="shared" si="14"/>
        <v>7</v>
      </c>
      <c r="F48" s="491">
        <f t="shared" si="14"/>
        <v>7</v>
      </c>
      <c r="G48" s="491">
        <f t="shared" si="14"/>
        <v>0</v>
      </c>
      <c r="H48" s="491">
        <f t="shared" si="14"/>
        <v>0</v>
      </c>
      <c r="I48" s="491">
        <f>SUM(B48:H48)</f>
        <v>14</v>
      </c>
      <c r="J48" s="491">
        <f>SUM(J42:J47)</f>
        <v>0</v>
      </c>
      <c r="K48" s="491">
        <f t="shared" ref="K48:O48" si="15">SUM(K42:K47)</f>
        <v>0</v>
      </c>
      <c r="L48" s="491">
        <f t="shared" si="15"/>
        <v>0</v>
      </c>
      <c r="M48" s="491">
        <f t="shared" si="15"/>
        <v>0</v>
      </c>
      <c r="N48" s="491">
        <f t="shared" si="15"/>
        <v>0</v>
      </c>
      <c r="O48" s="491">
        <f t="shared" si="15"/>
        <v>0</v>
      </c>
      <c r="P48" s="491">
        <f t="shared" ref="P48:T48" si="16">SUM(P42:P47)</f>
        <v>0</v>
      </c>
      <c r="Q48" s="491">
        <f t="shared" si="16"/>
        <v>0</v>
      </c>
      <c r="R48" s="491">
        <f t="shared" si="16"/>
        <v>0</v>
      </c>
      <c r="S48" s="491">
        <f t="shared" si="16"/>
        <v>0</v>
      </c>
      <c r="T48" s="491">
        <f t="shared" si="16"/>
        <v>0</v>
      </c>
      <c r="U48" s="491">
        <f t="shared" ref="U48:Y48" si="17">SUM(U42:U47)</f>
        <v>0</v>
      </c>
      <c r="V48" s="491">
        <f t="shared" si="17"/>
        <v>0</v>
      </c>
      <c r="W48" s="491">
        <f t="shared" si="17"/>
        <v>0</v>
      </c>
      <c r="X48" s="491">
        <f t="shared" si="17"/>
        <v>0</v>
      </c>
      <c r="Y48" s="491">
        <f t="shared" si="17"/>
        <v>0</v>
      </c>
    </row>
    <row r="49" spans="1:25" hidden="1">
      <c r="A49" s="507" t="s">
        <v>15</v>
      </c>
      <c r="B49" s="507"/>
      <c r="C49" s="507"/>
      <c r="D49" s="507"/>
      <c r="E49" s="507"/>
      <c r="F49" s="502"/>
      <c r="G49" s="502"/>
      <c r="H49" s="502"/>
      <c r="I49" s="502"/>
      <c r="J49" s="50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</row>
    <row r="50" spans="1:25" s="461" customFormat="1" hidden="1">
      <c r="A50" s="100" t="s">
        <v>130</v>
      </c>
      <c r="B50" s="100"/>
      <c r="C50" s="100"/>
      <c r="D50" s="100"/>
      <c r="E50" s="100"/>
      <c r="F50" s="614"/>
      <c r="G50" s="614"/>
      <c r="H50" s="614"/>
      <c r="I50" s="614">
        <f>SUM(C50:H50)</f>
        <v>0</v>
      </c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</row>
    <row r="51" spans="1:25" hidden="1">
      <c r="A51" s="99"/>
      <c r="B51" s="259"/>
      <c r="C51" s="259"/>
      <c r="D51" s="259"/>
      <c r="E51" s="259"/>
      <c r="F51" s="502"/>
      <c r="G51" s="502"/>
      <c r="H51" s="502"/>
      <c r="I51" s="502"/>
      <c r="J51" s="502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</row>
    <row r="52" spans="1:25" hidden="1">
      <c r="A52" s="671" t="s">
        <v>3</v>
      </c>
      <c r="B52" s="671"/>
      <c r="C52" s="499">
        <f t="shared" ref="C52:H52" si="18">SUM(C50:C51)</f>
        <v>0</v>
      </c>
      <c r="D52" s="499">
        <f t="shared" si="18"/>
        <v>0</v>
      </c>
      <c r="E52" s="499">
        <f t="shared" si="18"/>
        <v>0</v>
      </c>
      <c r="F52" s="499">
        <f t="shared" si="18"/>
        <v>0</v>
      </c>
      <c r="G52" s="499">
        <f t="shared" si="18"/>
        <v>0</v>
      </c>
      <c r="H52" s="499">
        <f t="shared" si="18"/>
        <v>0</v>
      </c>
      <c r="I52" s="499">
        <f>SUM(B52:H52)</f>
        <v>0</v>
      </c>
      <c r="J52" s="502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</row>
    <row r="53" spans="1:25">
      <c r="A53" s="98" t="s">
        <v>26</v>
      </c>
      <c r="B53" s="98"/>
      <c r="C53" s="98"/>
      <c r="D53" s="98"/>
      <c r="E53" s="98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</row>
    <row r="54" spans="1:25" s="461" customFormat="1">
      <c r="A54" s="398" t="s">
        <v>57</v>
      </c>
      <c r="B54" s="398">
        <v>32</v>
      </c>
      <c r="C54" s="398">
        <f>13+13</f>
        <v>26</v>
      </c>
      <c r="D54" s="398">
        <v>15</v>
      </c>
      <c r="E54" s="398">
        <v>9</v>
      </c>
      <c r="F54" s="701">
        <v>4</v>
      </c>
      <c r="G54" s="701"/>
      <c r="H54" s="701"/>
      <c r="I54" s="701">
        <f>SUM(B54:H54)</f>
        <v>86</v>
      </c>
      <c r="J54" s="701">
        <f>B54</f>
        <v>32</v>
      </c>
      <c r="K54" s="701">
        <v>40</v>
      </c>
      <c r="L54" s="701">
        <v>40</v>
      </c>
      <c r="M54" s="701">
        <v>40</v>
      </c>
      <c r="N54" s="701">
        <v>40</v>
      </c>
      <c r="O54" s="701">
        <v>40</v>
      </c>
      <c r="P54" s="701"/>
      <c r="Q54" s="701"/>
      <c r="R54" s="701"/>
      <c r="S54" s="701"/>
      <c r="T54" s="701"/>
      <c r="U54" s="701"/>
      <c r="V54" s="701"/>
      <c r="W54" s="701"/>
      <c r="X54" s="701"/>
      <c r="Y54" s="701"/>
    </row>
    <row r="55" spans="1:25" s="461" customFormat="1">
      <c r="A55" s="100" t="s">
        <v>172</v>
      </c>
      <c r="B55" s="100"/>
      <c r="C55" s="100">
        <f>4+3</f>
        <v>7</v>
      </c>
      <c r="D55" s="100">
        <f>13</f>
        <v>13</v>
      </c>
      <c r="E55" s="100">
        <f>8+4</f>
        <v>12</v>
      </c>
      <c r="F55" s="614">
        <v>8</v>
      </c>
      <c r="G55" s="614"/>
      <c r="H55" s="614"/>
      <c r="I55" s="614">
        <f>SUM(B55:H55)</f>
        <v>40</v>
      </c>
      <c r="J55" s="614">
        <f>B55</f>
        <v>0</v>
      </c>
      <c r="K55" s="614">
        <v>0</v>
      </c>
      <c r="L55" s="614">
        <v>15</v>
      </c>
      <c r="M55" s="614">
        <v>15</v>
      </c>
      <c r="N55" s="614">
        <v>0</v>
      </c>
      <c r="O55" s="614">
        <v>0</v>
      </c>
      <c r="P55" s="614"/>
      <c r="Q55" s="614"/>
      <c r="R55" s="614"/>
      <c r="S55" s="614"/>
      <c r="T55" s="614"/>
      <c r="U55" s="614"/>
      <c r="V55" s="614"/>
      <c r="W55" s="614"/>
      <c r="X55" s="614"/>
      <c r="Y55" s="614"/>
    </row>
    <row r="56" spans="1:25" s="461" customFormat="1">
      <c r="A56" s="100"/>
      <c r="B56" s="100"/>
      <c r="C56" s="100"/>
      <c r="D56" s="100"/>
      <c r="E56" s="100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</row>
    <row r="57" spans="1:25" s="461" customFormat="1">
      <c r="A57" s="100"/>
      <c r="B57" s="100"/>
      <c r="C57" s="100"/>
      <c r="D57" s="100"/>
      <c r="E57" s="100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</row>
    <row r="58" spans="1:25" s="461" customFormat="1">
      <c r="A58" s="100"/>
      <c r="B58" s="100"/>
      <c r="C58" s="100"/>
      <c r="D58" s="100"/>
      <c r="E58" s="100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</row>
    <row r="59" spans="1:25" s="461" customFormat="1">
      <c r="A59" s="100"/>
      <c r="B59" s="100"/>
      <c r="C59" s="100"/>
      <c r="D59" s="100"/>
      <c r="E59" s="100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</row>
    <row r="60" spans="1:25" s="461" customFormat="1">
      <c r="A60" s="100"/>
      <c r="B60" s="100"/>
      <c r="C60" s="100"/>
      <c r="D60" s="100"/>
      <c r="E60" s="100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</row>
    <row r="61" spans="1:25" s="461" customFormat="1">
      <c r="A61" s="401"/>
      <c r="B61" s="401"/>
      <c r="C61" s="401"/>
      <c r="D61" s="401"/>
      <c r="E61" s="401"/>
      <c r="F61" s="737"/>
      <c r="G61" s="737"/>
      <c r="H61" s="737"/>
      <c r="I61" s="737"/>
      <c r="J61" s="737"/>
      <c r="K61" s="737"/>
      <c r="L61" s="737"/>
      <c r="M61" s="737"/>
      <c r="N61" s="737"/>
      <c r="O61" s="737"/>
      <c r="P61" s="737"/>
      <c r="Q61" s="737"/>
      <c r="R61" s="737"/>
      <c r="S61" s="737"/>
      <c r="T61" s="737"/>
      <c r="U61" s="737"/>
      <c r="V61" s="737"/>
      <c r="W61" s="737"/>
      <c r="X61" s="737"/>
      <c r="Y61" s="737"/>
    </row>
    <row r="62" spans="1:25">
      <c r="A62" s="95" t="s">
        <v>3</v>
      </c>
      <c r="B62" s="491">
        <f t="shared" ref="B62:H62" si="19">SUM(B54:B55)</f>
        <v>32</v>
      </c>
      <c r="C62" s="491">
        <f t="shared" si="19"/>
        <v>33</v>
      </c>
      <c r="D62" s="491">
        <f t="shared" si="19"/>
        <v>28</v>
      </c>
      <c r="E62" s="491">
        <f t="shared" si="19"/>
        <v>21</v>
      </c>
      <c r="F62" s="491">
        <f t="shared" si="19"/>
        <v>12</v>
      </c>
      <c r="G62" s="491">
        <f t="shared" si="19"/>
        <v>0</v>
      </c>
      <c r="H62" s="491">
        <f t="shared" si="19"/>
        <v>0</v>
      </c>
      <c r="I62" s="503">
        <f>SUM(B62:H62)</f>
        <v>126</v>
      </c>
      <c r="J62" s="503">
        <f>SUM(J54:J55)</f>
        <v>32</v>
      </c>
      <c r="K62" s="503">
        <f t="shared" ref="K62:O62" si="20">SUM(K54:K55)</f>
        <v>40</v>
      </c>
      <c r="L62" s="503">
        <f t="shared" si="20"/>
        <v>55</v>
      </c>
      <c r="M62" s="503">
        <f t="shared" si="20"/>
        <v>55</v>
      </c>
      <c r="N62" s="503">
        <f t="shared" si="20"/>
        <v>40</v>
      </c>
      <c r="O62" s="503">
        <f t="shared" si="20"/>
        <v>40</v>
      </c>
      <c r="P62" s="503">
        <f t="shared" ref="P62:T62" si="21">SUM(P54:P55)</f>
        <v>0</v>
      </c>
      <c r="Q62" s="503">
        <f t="shared" si="21"/>
        <v>0</v>
      </c>
      <c r="R62" s="503">
        <f t="shared" si="21"/>
        <v>0</v>
      </c>
      <c r="S62" s="503">
        <f t="shared" si="21"/>
        <v>0</v>
      </c>
      <c r="T62" s="503">
        <f t="shared" si="21"/>
        <v>0</v>
      </c>
      <c r="U62" s="503">
        <f t="shared" ref="U62:Y62" si="22">SUM(U54:U55)</f>
        <v>0</v>
      </c>
      <c r="V62" s="503">
        <f t="shared" si="22"/>
        <v>0</v>
      </c>
      <c r="W62" s="503">
        <f t="shared" si="22"/>
        <v>0</v>
      </c>
      <c r="X62" s="503">
        <f t="shared" si="22"/>
        <v>0</v>
      </c>
      <c r="Y62" s="503">
        <f t="shared" si="22"/>
        <v>0</v>
      </c>
    </row>
    <row r="63" spans="1:25">
      <c r="A63" s="98" t="s">
        <v>127</v>
      </c>
      <c r="B63" s="98"/>
      <c r="C63" s="98"/>
      <c r="D63" s="98"/>
      <c r="E63" s="98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</row>
    <row r="64" spans="1:25" hidden="1">
      <c r="A64" s="513" t="s">
        <v>128</v>
      </c>
      <c r="B64" s="513"/>
      <c r="C64" s="513"/>
      <c r="D64" s="513"/>
      <c r="E64" s="513"/>
      <c r="F64" s="491"/>
      <c r="G64" s="491"/>
      <c r="H64" s="491"/>
      <c r="I64" s="491">
        <f>SUM(D64:H64)</f>
        <v>0</v>
      </c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</row>
    <row r="65" spans="1:25">
      <c r="A65" s="513" t="s">
        <v>129</v>
      </c>
      <c r="B65" s="513">
        <v>180</v>
      </c>
      <c r="C65" s="513">
        <v>13</v>
      </c>
      <c r="D65" s="513">
        <v>27</v>
      </c>
      <c r="E65" s="513"/>
      <c r="F65" s="491"/>
      <c r="G65" s="491"/>
      <c r="H65" s="491"/>
      <c r="I65" s="491">
        <f>SUM(B65:H65)</f>
        <v>220</v>
      </c>
      <c r="J65" s="614">
        <f>B65</f>
        <v>180</v>
      </c>
      <c r="K65" s="491">
        <v>180</v>
      </c>
      <c r="L65" s="491">
        <v>180</v>
      </c>
      <c r="M65" s="491">
        <v>180</v>
      </c>
      <c r="N65" s="491">
        <v>180</v>
      </c>
      <c r="O65" s="491">
        <v>180</v>
      </c>
      <c r="P65" s="491"/>
      <c r="Q65" s="491"/>
      <c r="R65" s="491"/>
      <c r="S65" s="491"/>
      <c r="T65" s="491"/>
      <c r="U65" s="491"/>
      <c r="V65" s="491"/>
      <c r="W65" s="491"/>
      <c r="X65" s="491"/>
      <c r="Y65" s="491"/>
    </row>
    <row r="66" spans="1:25" s="461" customFormat="1">
      <c r="A66" s="95" t="s">
        <v>3</v>
      </c>
      <c r="B66" s="491">
        <f>SUM(B64:B65)</f>
        <v>180</v>
      </c>
      <c r="C66" s="491">
        <f>SUM(C64:C65)</f>
        <v>13</v>
      </c>
      <c r="D66" s="491">
        <f>SUM(D64:D65)</f>
        <v>27</v>
      </c>
      <c r="E66" s="513"/>
      <c r="F66" s="491">
        <f>SUM(F64:F65)</f>
        <v>0</v>
      </c>
      <c r="G66" s="491">
        <f>SUM(G64:G65)</f>
        <v>0</v>
      </c>
      <c r="H66" s="491"/>
      <c r="I66" s="503">
        <f>SUM(B66:H66)</f>
        <v>220</v>
      </c>
      <c r="J66" s="503">
        <f>SUM(J65)</f>
        <v>180</v>
      </c>
      <c r="K66" s="503">
        <f t="shared" ref="K66:O66" si="23">SUM(K65)</f>
        <v>180</v>
      </c>
      <c r="L66" s="503">
        <f t="shared" si="23"/>
        <v>180</v>
      </c>
      <c r="M66" s="503">
        <f t="shared" si="23"/>
        <v>180</v>
      </c>
      <c r="N66" s="503">
        <f t="shared" si="23"/>
        <v>180</v>
      </c>
      <c r="O66" s="503">
        <f t="shared" si="23"/>
        <v>180</v>
      </c>
      <c r="P66" s="503">
        <f t="shared" ref="P66:T66" si="24">SUM(P65)</f>
        <v>0</v>
      </c>
      <c r="Q66" s="503">
        <f t="shared" si="24"/>
        <v>0</v>
      </c>
      <c r="R66" s="503">
        <f t="shared" si="24"/>
        <v>0</v>
      </c>
      <c r="S66" s="503">
        <f t="shared" si="24"/>
        <v>0</v>
      </c>
      <c r="T66" s="503">
        <f t="shared" si="24"/>
        <v>0</v>
      </c>
      <c r="U66" s="503">
        <f t="shared" ref="U66:Y66" si="25">SUM(U65)</f>
        <v>0</v>
      </c>
      <c r="V66" s="503">
        <f t="shared" si="25"/>
        <v>0</v>
      </c>
      <c r="W66" s="503">
        <f t="shared" si="25"/>
        <v>0</v>
      </c>
      <c r="X66" s="503">
        <f t="shared" si="25"/>
        <v>0</v>
      </c>
      <c r="Y66" s="503">
        <f t="shared" si="25"/>
        <v>0</v>
      </c>
    </row>
    <row r="67" spans="1:25">
      <c r="A67" s="279" t="s">
        <v>36</v>
      </c>
      <c r="B67" s="279">
        <f t="shared" ref="B67:H67" si="26">SUM(B19,B30,B40,B48,B52,B62,B66)</f>
        <v>374</v>
      </c>
      <c r="C67" s="279">
        <f t="shared" si="26"/>
        <v>216</v>
      </c>
      <c r="D67" s="279">
        <f t="shared" si="26"/>
        <v>184</v>
      </c>
      <c r="E67" s="279">
        <f t="shared" si="26"/>
        <v>139</v>
      </c>
      <c r="F67" s="279">
        <f t="shared" si="26"/>
        <v>121</v>
      </c>
      <c r="G67" s="279">
        <f t="shared" si="26"/>
        <v>6</v>
      </c>
      <c r="H67" s="279">
        <f t="shared" si="26"/>
        <v>0</v>
      </c>
      <c r="I67" s="705">
        <f>SUM(B67:H67)</f>
        <v>1040</v>
      </c>
      <c r="J67" s="705">
        <f>J19+J30+J40+J48+J62+J66</f>
        <v>374</v>
      </c>
      <c r="K67" s="705">
        <f t="shared" ref="K67:O67" si="27">K19+K30+K40+K48+K62+K66</f>
        <v>485</v>
      </c>
      <c r="L67" s="705">
        <f t="shared" si="27"/>
        <v>515</v>
      </c>
      <c r="M67" s="705">
        <f t="shared" si="27"/>
        <v>500</v>
      </c>
      <c r="N67" s="705">
        <f t="shared" si="27"/>
        <v>500</v>
      </c>
      <c r="O67" s="705">
        <f t="shared" si="27"/>
        <v>485</v>
      </c>
      <c r="P67" s="705">
        <f t="shared" ref="P67:T67" si="28">P19+P30+P40+P48+P62+P66</f>
        <v>0</v>
      </c>
      <c r="Q67" s="705">
        <f t="shared" si="28"/>
        <v>0</v>
      </c>
      <c r="R67" s="705">
        <f t="shared" si="28"/>
        <v>0</v>
      </c>
      <c r="S67" s="705">
        <f t="shared" si="28"/>
        <v>0</v>
      </c>
      <c r="T67" s="705">
        <f t="shared" si="28"/>
        <v>0</v>
      </c>
      <c r="U67" s="705">
        <f t="shared" ref="U67:Y67" si="29">U19+U30+U40+U48+U62+U66</f>
        <v>0</v>
      </c>
      <c r="V67" s="705">
        <f t="shared" si="29"/>
        <v>0</v>
      </c>
      <c r="W67" s="705">
        <f t="shared" si="29"/>
        <v>0</v>
      </c>
      <c r="X67" s="705">
        <f t="shared" si="29"/>
        <v>0</v>
      </c>
      <c r="Y67" s="705">
        <f t="shared" si="29"/>
        <v>0</v>
      </c>
    </row>
    <row r="68" spans="1:25" hidden="1">
      <c r="A68" s="646"/>
      <c r="B68" s="646"/>
      <c r="C68" s="702" t="s">
        <v>269</v>
      </c>
      <c r="D68" s="703" t="s">
        <v>270</v>
      </c>
      <c r="E68" s="608" t="s">
        <v>3</v>
      </c>
      <c r="F68" s="531"/>
      <c r="G68" s="502"/>
    </row>
    <row r="69" spans="1:25" hidden="1">
      <c r="A69" s="610" t="s">
        <v>40</v>
      </c>
      <c r="B69" s="610"/>
      <c r="C69" s="609">
        <f>'แผนรับบัณฑิตศึกษา (2)'!I66</f>
        <v>220</v>
      </c>
      <c r="D69" s="610"/>
      <c r="E69" s="611">
        <f>SUM(C69:D69)</f>
        <v>220</v>
      </c>
      <c r="F69" s="491"/>
      <c r="G69" s="491"/>
      <c r="H69" s="491"/>
      <c r="I69" s="421">
        <f>'ปกติ (2)'!I135+'ปกติ (2)'!I136</f>
        <v>35</v>
      </c>
    </row>
    <row r="70" spans="1:25" hidden="1">
      <c r="A70" s="610" t="s">
        <v>51</v>
      </c>
      <c r="B70" s="610"/>
      <c r="C70" s="609" t="e">
        <f>#REF!</f>
        <v>#REF!</v>
      </c>
      <c r="D70" s="609" t="e">
        <f>#REF!</f>
        <v>#REF!</v>
      </c>
      <c r="E70" s="611" t="e">
        <f>SUM(C70:D70)</f>
        <v>#REF!</v>
      </c>
      <c r="F70" s="491"/>
      <c r="G70" s="491"/>
      <c r="H70" s="491"/>
      <c r="I70" s="421">
        <f>SUM(I67:I69)</f>
        <v>1075</v>
      </c>
    </row>
    <row r="71" spans="1:25" hidden="1">
      <c r="A71" s="610" t="s">
        <v>151</v>
      </c>
      <c r="B71" s="610"/>
      <c r="C71" s="609" t="e">
        <f>#REF!</f>
        <v>#REF!</v>
      </c>
      <c r="D71" s="609" t="e">
        <f>#REF!</f>
        <v>#REF!</v>
      </c>
      <c r="E71" s="611" t="e">
        <f>SUM(C71:D71)</f>
        <v>#REF!</v>
      </c>
      <c r="F71" s="491"/>
      <c r="G71" s="491"/>
      <c r="H71" s="491"/>
    </row>
    <row r="72" spans="1:25" hidden="1">
      <c r="A72" s="647" t="s">
        <v>3</v>
      </c>
      <c r="B72" s="647"/>
      <c r="C72" s="744" t="e">
        <f>SUM(C69:C71)</f>
        <v>#REF!</v>
      </c>
      <c r="D72" s="744" t="e">
        <f>SUM(D69:D71)</f>
        <v>#REF!</v>
      </c>
      <c r="E72" s="744" t="e">
        <f>SUM(E69:E71)</f>
        <v>#REF!</v>
      </c>
      <c r="F72" s="491"/>
      <c r="G72" s="491"/>
      <c r="H72" s="491"/>
    </row>
    <row r="73" spans="1:25" hidden="1"/>
    <row r="74" spans="1:25" hidden="1">
      <c r="A74" s="837" t="s">
        <v>353</v>
      </c>
      <c r="B74" s="838"/>
      <c r="C74" s="838"/>
      <c r="D74" s="838"/>
    </row>
    <row r="75" spans="1:25" hidden="1"/>
    <row r="76" spans="1:25" hidden="1"/>
    <row r="77" spans="1:25" hidden="1"/>
    <row r="78" spans="1:25" hidden="1"/>
    <row r="79" spans="1:25" hidden="1"/>
    <row r="80" spans="1:25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</sheetData>
  <mergeCells count="6">
    <mergeCell ref="A74:D74"/>
    <mergeCell ref="K3:Y3"/>
    <mergeCell ref="A1:Y1"/>
    <mergeCell ref="A3:A4"/>
    <mergeCell ref="I3:I4"/>
    <mergeCell ref="J3:J4"/>
  </mergeCells>
  <printOptions horizontalCentered="1"/>
  <pageMargins left="0.47244094488188981" right="0.55118110236220474" top="0.78740157480314965" bottom="0.59055118110236227" header="0.51181102362204722" footer="0.51181102362204722"/>
  <pageSetup paperSize="9" scale="80" orientation="landscape" r:id="rId1"/>
  <headerFooter alignWithMargins="0">
    <oddFooter>หน้าที่ &amp;P จาก &amp;N</oddFooter>
  </headerFooter>
  <rowBreaks count="1" manualBreakCount="1">
    <brk id="52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Y107"/>
  <sheetViews>
    <sheetView view="pageBreakPreview" zoomScale="120" zoomScaleSheetLayoutView="120" workbookViewId="0">
      <pane ySplit="4" topLeftCell="A5" activePane="bottomLeft" state="frozen"/>
      <selection pane="bottomLeft" activeCell="Q8" sqref="Q8"/>
    </sheetView>
  </sheetViews>
  <sheetFormatPr defaultRowHeight="21"/>
  <cols>
    <col min="1" max="1" width="39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5703125" style="421" customWidth="1"/>
    <col min="10" max="10" width="12.140625" style="421" customWidth="1"/>
    <col min="11" max="25" width="7.42578125" style="421" customWidth="1"/>
    <col min="26" max="16384" width="9.140625" style="93"/>
  </cols>
  <sheetData>
    <row r="1" spans="1:25" ht="23.25">
      <c r="A1" s="924" t="s">
        <v>400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5">
      <c r="A3" s="920" t="s">
        <v>0</v>
      </c>
      <c r="B3" s="706" t="s">
        <v>339</v>
      </c>
      <c r="C3" s="706" t="s">
        <v>305</v>
      </c>
      <c r="D3" s="706" t="s">
        <v>266</v>
      </c>
      <c r="E3" s="706" t="s">
        <v>230</v>
      </c>
      <c r="F3" s="706" t="s">
        <v>163</v>
      </c>
      <c r="G3" s="706" t="s">
        <v>132</v>
      </c>
      <c r="H3" s="706" t="s">
        <v>99</v>
      </c>
      <c r="I3" s="922" t="s">
        <v>355</v>
      </c>
      <c r="J3" s="882" t="s">
        <v>363</v>
      </c>
      <c r="K3" s="917" t="s">
        <v>361</v>
      </c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</row>
    <row r="4" spans="1:25">
      <c r="A4" s="921"/>
      <c r="B4" s="746"/>
      <c r="C4" s="746"/>
      <c r="D4" s="746"/>
      <c r="E4" s="746"/>
      <c r="F4" s="705"/>
      <c r="G4" s="705"/>
      <c r="H4" s="705"/>
      <c r="I4" s="923"/>
      <c r="J4" s="882"/>
      <c r="K4" s="699" t="s">
        <v>356</v>
      </c>
      <c r="L4" s="699" t="s">
        <v>357</v>
      </c>
      <c r="M4" s="699" t="s">
        <v>358</v>
      </c>
      <c r="N4" s="699" t="s">
        <v>359</v>
      </c>
      <c r="O4" s="699" t="s">
        <v>360</v>
      </c>
      <c r="P4" s="699" t="s">
        <v>386</v>
      </c>
      <c r="Q4" s="699" t="s">
        <v>387</v>
      </c>
      <c r="R4" s="699" t="s">
        <v>388</v>
      </c>
      <c r="S4" s="699" t="s">
        <v>389</v>
      </c>
      <c r="T4" s="699" t="s">
        <v>390</v>
      </c>
      <c r="U4" s="699" t="s">
        <v>391</v>
      </c>
      <c r="V4" s="699" t="s">
        <v>392</v>
      </c>
      <c r="W4" s="699" t="s">
        <v>393</v>
      </c>
      <c r="X4" s="699" t="s">
        <v>394</v>
      </c>
      <c r="Y4" s="699" t="s">
        <v>395</v>
      </c>
    </row>
    <row r="5" spans="1:25">
      <c r="A5" s="505" t="s">
        <v>5</v>
      </c>
      <c r="B5" s="505"/>
      <c r="C5" s="505"/>
      <c r="D5" s="505"/>
      <c r="E5" s="505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</row>
    <row r="6" spans="1:25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</row>
    <row r="7" spans="1:25" s="461" customFormat="1">
      <c r="A7" s="659" t="s">
        <v>71</v>
      </c>
      <c r="B7" s="659">
        <f>35+30</f>
        <v>65</v>
      </c>
      <c r="C7" s="659">
        <f>19+46</f>
        <v>65</v>
      </c>
      <c r="D7" s="659">
        <v>19</v>
      </c>
      <c r="E7" s="659">
        <v>5</v>
      </c>
      <c r="F7" s="701">
        <f>4+4+5</f>
        <v>13</v>
      </c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</row>
    <row r="8" spans="1:25" s="461" customFormat="1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</row>
    <row r="9" spans="1:25" s="461" customFormat="1">
      <c r="A9" s="250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</row>
    <row r="10" spans="1:25" s="461" customFormat="1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4"/>
    </row>
    <row r="11" spans="1:25" s="461" customFormat="1">
      <c r="A11" s="250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>
        <v>0</v>
      </c>
      <c r="Q11" s="614">
        <v>0</v>
      </c>
      <c r="R11" s="614">
        <v>0</v>
      </c>
      <c r="S11" s="614">
        <v>0</v>
      </c>
      <c r="T11" s="614">
        <v>0</v>
      </c>
      <c r="U11" s="614">
        <v>0</v>
      </c>
      <c r="V11" s="614">
        <v>0</v>
      </c>
      <c r="W11" s="614">
        <v>0</v>
      </c>
      <c r="X11" s="614">
        <v>0</v>
      </c>
      <c r="Y11" s="614">
        <v>0</v>
      </c>
    </row>
    <row r="12" spans="1:25" s="461" customFormat="1">
      <c r="A12" s="100" t="s">
        <v>262</v>
      </c>
      <c r="B12" s="100"/>
      <c r="C12" s="100">
        <f>1+3</f>
        <v>4</v>
      </c>
      <c r="D12" s="100">
        <v>10</v>
      </c>
      <c r="E12" s="100">
        <v>24</v>
      </c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</row>
    <row r="13" spans="1:25" s="461" customFormat="1">
      <c r="A13" s="681" t="s">
        <v>396</v>
      </c>
      <c r="B13" s="100"/>
      <c r="C13" s="100"/>
      <c r="D13" s="100"/>
      <c r="E13" s="100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</row>
    <row r="14" spans="1:25" s="461" customFormat="1">
      <c r="A14" s="100"/>
      <c r="B14" s="100"/>
      <c r="C14" s="100"/>
      <c r="D14" s="100"/>
      <c r="E14" s="100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</row>
    <row r="15" spans="1:25" s="461" customFormat="1">
      <c r="A15" s="100"/>
      <c r="B15" s="100"/>
      <c r="C15" s="100"/>
      <c r="D15" s="100"/>
      <c r="E15" s="100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</row>
    <row r="16" spans="1:25" s="461" customFormat="1">
      <c r="A16" s="100"/>
      <c r="B16" s="100"/>
      <c r="C16" s="100"/>
      <c r="D16" s="100"/>
      <c r="E16" s="100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</row>
    <row r="17" spans="1:25" s="461" customFormat="1">
      <c r="A17" s="100"/>
      <c r="B17" s="100"/>
      <c r="C17" s="100"/>
      <c r="D17" s="100"/>
      <c r="E17" s="100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</row>
    <row r="18" spans="1:25" s="461" customFormat="1">
      <c r="A18" s="401"/>
      <c r="B18" s="401"/>
      <c r="C18" s="401"/>
      <c r="D18" s="401"/>
      <c r="E18" s="401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</row>
    <row r="19" spans="1:25">
      <c r="A19" s="95" t="s">
        <v>3</v>
      </c>
      <c r="B19" s="503">
        <f>SUM(B7:B12)</f>
        <v>128</v>
      </c>
      <c r="C19" s="503">
        <f>SUM(C7:C12)</f>
        <v>119</v>
      </c>
      <c r="D19" s="503">
        <f>SUM(D7:D12)</f>
        <v>76</v>
      </c>
      <c r="E19" s="503">
        <f t="shared" ref="E19:H19" si="0">SUM(E7:E12)</f>
        <v>64</v>
      </c>
      <c r="F19" s="503">
        <f t="shared" si="0"/>
        <v>62</v>
      </c>
      <c r="G19" s="503">
        <f t="shared" si="0"/>
        <v>0</v>
      </c>
      <c r="H19" s="503">
        <f t="shared" si="0"/>
        <v>0</v>
      </c>
      <c r="I19" s="503"/>
      <c r="J19" s="503">
        <f>SUM(J7:J12)</f>
        <v>0</v>
      </c>
      <c r="K19" s="503">
        <f t="shared" ref="K19:Y19" si="1">SUM(K7:K12)</f>
        <v>0</v>
      </c>
      <c r="L19" s="503">
        <f t="shared" si="1"/>
        <v>0</v>
      </c>
      <c r="M19" s="503">
        <f t="shared" si="1"/>
        <v>0</v>
      </c>
      <c r="N19" s="503">
        <f t="shared" si="1"/>
        <v>0</v>
      </c>
      <c r="O19" s="503">
        <f t="shared" si="1"/>
        <v>0</v>
      </c>
      <c r="P19" s="503">
        <f t="shared" si="1"/>
        <v>0</v>
      </c>
      <c r="Q19" s="503">
        <f t="shared" si="1"/>
        <v>0</v>
      </c>
      <c r="R19" s="503">
        <f t="shared" si="1"/>
        <v>0</v>
      </c>
      <c r="S19" s="503">
        <f t="shared" si="1"/>
        <v>0</v>
      </c>
      <c r="T19" s="503">
        <f t="shared" si="1"/>
        <v>0</v>
      </c>
      <c r="U19" s="503">
        <f t="shared" si="1"/>
        <v>0</v>
      </c>
      <c r="V19" s="503">
        <f t="shared" si="1"/>
        <v>0</v>
      </c>
      <c r="W19" s="503">
        <f t="shared" si="1"/>
        <v>0</v>
      </c>
      <c r="X19" s="503">
        <f t="shared" si="1"/>
        <v>0</v>
      </c>
      <c r="Y19" s="503">
        <f t="shared" si="1"/>
        <v>0</v>
      </c>
    </row>
    <row r="20" spans="1:25">
      <c r="A20" s="505" t="s">
        <v>134</v>
      </c>
      <c r="B20" s="505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</row>
    <row r="21" spans="1:25" s="461" customFormat="1">
      <c r="A21" s="659" t="s">
        <v>82</v>
      </c>
      <c r="B21" s="659"/>
      <c r="C21" s="659"/>
      <c r="D21" s="659"/>
      <c r="E21" s="659"/>
      <c r="F21" s="701">
        <f>4+3</f>
        <v>7</v>
      </c>
      <c r="G21" s="701">
        <v>5</v>
      </c>
      <c r="H21" s="701"/>
      <c r="I21" s="701"/>
      <c r="J21" s="701"/>
      <c r="K21" s="701"/>
      <c r="L21" s="701"/>
      <c r="M21" s="701"/>
      <c r="N21" s="701"/>
      <c r="O21" s="701"/>
      <c r="P21" s="701">
        <v>0</v>
      </c>
      <c r="Q21" s="701">
        <v>0</v>
      </c>
      <c r="R21" s="701">
        <v>0</v>
      </c>
      <c r="S21" s="701">
        <v>0</v>
      </c>
      <c r="T21" s="701">
        <v>0</v>
      </c>
      <c r="U21" s="701">
        <v>0</v>
      </c>
      <c r="V21" s="701">
        <v>0</v>
      </c>
      <c r="W21" s="701">
        <v>0</v>
      </c>
      <c r="X21" s="701">
        <v>0</v>
      </c>
      <c r="Y21" s="701">
        <v>0</v>
      </c>
    </row>
    <row r="22" spans="1:25" s="461" customFormat="1">
      <c r="A22" s="250" t="s">
        <v>282</v>
      </c>
      <c r="B22" s="250">
        <v>12</v>
      </c>
      <c r="C22" s="250">
        <f>17+1</f>
        <v>18</v>
      </c>
      <c r="D22" s="250">
        <f>14+2</f>
        <v>16</v>
      </c>
      <c r="E22" s="250">
        <v>13</v>
      </c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</row>
    <row r="23" spans="1:25" s="461" customFormat="1">
      <c r="A23" s="250" t="s">
        <v>97</v>
      </c>
      <c r="B23" s="250">
        <v>7</v>
      </c>
      <c r="C23" s="250">
        <v>11</v>
      </c>
      <c r="D23" s="250"/>
      <c r="E23" s="250"/>
      <c r="F23" s="614">
        <v>12</v>
      </c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</row>
    <row r="24" spans="1:25" s="461" customFormat="1">
      <c r="A24" s="250" t="s">
        <v>98</v>
      </c>
      <c r="B24" s="250">
        <v>7</v>
      </c>
      <c r="C24" s="250">
        <f>6+4</f>
        <v>10</v>
      </c>
      <c r="D24" s="250">
        <v>19</v>
      </c>
      <c r="E24" s="250">
        <v>9</v>
      </c>
      <c r="F24" s="614">
        <v>5</v>
      </c>
      <c r="G24" s="614">
        <v>1</v>
      </c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614"/>
      <c r="X24" s="614"/>
      <c r="Y24" s="614"/>
    </row>
    <row r="25" spans="1:25" s="461" customFormat="1">
      <c r="A25" s="681" t="s">
        <v>396</v>
      </c>
      <c r="B25" s="250"/>
      <c r="C25" s="250"/>
      <c r="D25" s="250"/>
      <c r="E25" s="250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</row>
    <row r="26" spans="1:25" s="461" customFormat="1">
      <c r="A26" s="250"/>
      <c r="B26" s="250"/>
      <c r="C26" s="250"/>
      <c r="D26" s="250"/>
      <c r="E26" s="250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</row>
    <row r="27" spans="1:25" s="461" customFormat="1">
      <c r="A27" s="250"/>
      <c r="B27" s="250"/>
      <c r="C27" s="250"/>
      <c r="D27" s="250"/>
      <c r="E27" s="250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</row>
    <row r="28" spans="1:25" s="461" customFormat="1">
      <c r="A28" s="250"/>
      <c r="B28" s="250"/>
      <c r="C28" s="250"/>
      <c r="D28" s="250"/>
      <c r="E28" s="250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</row>
    <row r="29" spans="1:25" s="461" customFormat="1">
      <c r="A29" s="665"/>
      <c r="B29" s="665"/>
      <c r="C29" s="665"/>
      <c r="D29" s="665"/>
      <c r="E29" s="665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737"/>
      <c r="Y29" s="737"/>
    </row>
    <row r="30" spans="1:25" s="698" customFormat="1">
      <c r="A30" s="95" t="s">
        <v>3</v>
      </c>
      <c r="B30" s="503">
        <f>SUM(B21:B24)</f>
        <v>26</v>
      </c>
      <c r="C30" s="503">
        <f>SUM(C21:C24)</f>
        <v>39</v>
      </c>
      <c r="D30" s="503">
        <f>SUM(D21:D24)</f>
        <v>35</v>
      </c>
      <c r="E30" s="503">
        <f t="shared" ref="E30:H30" si="2">SUM(E21:E24)</f>
        <v>22</v>
      </c>
      <c r="F30" s="503">
        <f t="shared" si="2"/>
        <v>24</v>
      </c>
      <c r="G30" s="503">
        <f t="shared" si="2"/>
        <v>6</v>
      </c>
      <c r="H30" s="503">
        <f t="shared" si="2"/>
        <v>0</v>
      </c>
      <c r="I30" s="503"/>
      <c r="J30" s="503">
        <f>SUM(J21:J24)</f>
        <v>0</v>
      </c>
      <c r="K30" s="503">
        <f t="shared" ref="K30:Y30" si="3">SUM(K21:K24)</f>
        <v>0</v>
      </c>
      <c r="L30" s="503">
        <f t="shared" si="3"/>
        <v>0</v>
      </c>
      <c r="M30" s="503">
        <f t="shared" si="3"/>
        <v>0</v>
      </c>
      <c r="N30" s="503">
        <f t="shared" si="3"/>
        <v>0</v>
      </c>
      <c r="O30" s="503">
        <f t="shared" si="3"/>
        <v>0</v>
      </c>
      <c r="P30" s="503">
        <f t="shared" si="3"/>
        <v>0</v>
      </c>
      <c r="Q30" s="503">
        <f t="shared" si="3"/>
        <v>0</v>
      </c>
      <c r="R30" s="503">
        <f t="shared" si="3"/>
        <v>0</v>
      </c>
      <c r="S30" s="503">
        <f t="shared" si="3"/>
        <v>0</v>
      </c>
      <c r="T30" s="503">
        <f t="shared" si="3"/>
        <v>0</v>
      </c>
      <c r="U30" s="503">
        <f t="shared" si="3"/>
        <v>0</v>
      </c>
      <c r="V30" s="503">
        <f t="shared" si="3"/>
        <v>0</v>
      </c>
      <c r="W30" s="503">
        <f t="shared" si="3"/>
        <v>0</v>
      </c>
      <c r="X30" s="503">
        <f t="shared" si="3"/>
        <v>0</v>
      </c>
      <c r="Y30" s="503">
        <f t="shared" si="3"/>
        <v>0</v>
      </c>
    </row>
    <row r="31" spans="1:25">
      <c r="A31" s="98" t="s">
        <v>11</v>
      </c>
      <c r="B31" s="98"/>
      <c r="C31" s="98"/>
      <c r="D31" s="98"/>
      <c r="E31" s="98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</row>
    <row r="32" spans="1:25" s="461" customFormat="1">
      <c r="A32" s="398" t="s">
        <v>173</v>
      </c>
      <c r="B32" s="398"/>
      <c r="C32" s="398">
        <f>0+2</f>
        <v>2</v>
      </c>
      <c r="D32" s="398"/>
      <c r="E32" s="398">
        <f>1+0</f>
        <v>1</v>
      </c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1"/>
      <c r="X32" s="701"/>
      <c r="Y32" s="701"/>
    </row>
    <row r="33" spans="1:25" s="461" customFormat="1">
      <c r="A33" s="100" t="s">
        <v>171</v>
      </c>
      <c r="B33" s="100"/>
      <c r="C33" s="100"/>
      <c r="D33" s="100">
        <v>1</v>
      </c>
      <c r="E33" s="100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</row>
    <row r="34" spans="1:25" s="461" customFormat="1">
      <c r="A34" s="100" t="s">
        <v>174</v>
      </c>
      <c r="B34" s="100">
        <v>8</v>
      </c>
      <c r="C34" s="100">
        <f>9+1</f>
        <v>10</v>
      </c>
      <c r="D34" s="100">
        <v>17</v>
      </c>
      <c r="E34" s="100">
        <f>14+10</f>
        <v>24</v>
      </c>
      <c r="F34" s="614">
        <v>16</v>
      </c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</row>
    <row r="35" spans="1:25" s="461" customFormat="1">
      <c r="A35" s="681" t="s">
        <v>396</v>
      </c>
      <c r="B35" s="100"/>
      <c r="C35" s="100"/>
      <c r="D35" s="100"/>
      <c r="E35" s="100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</row>
    <row r="36" spans="1:25" s="461" customFormat="1">
      <c r="A36" s="100"/>
      <c r="B36" s="100"/>
      <c r="C36" s="100"/>
      <c r="D36" s="100"/>
      <c r="E36" s="100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</row>
    <row r="37" spans="1:25" s="542" customFormat="1">
      <c r="A37" s="100"/>
      <c r="B37" s="100"/>
      <c r="C37" s="100"/>
      <c r="D37" s="100"/>
      <c r="E37" s="100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</row>
    <row r="38" spans="1:25" s="461" customFormat="1">
      <c r="A38" s="100"/>
      <c r="B38" s="100"/>
      <c r="C38" s="100"/>
      <c r="D38" s="100"/>
      <c r="E38" s="100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</row>
    <row r="39" spans="1:25" s="461" customFormat="1">
      <c r="A39" s="401"/>
      <c r="B39" s="401"/>
      <c r="C39" s="401"/>
      <c r="D39" s="401"/>
      <c r="E39" s="401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7"/>
      <c r="T39" s="737"/>
      <c r="U39" s="737"/>
      <c r="V39" s="737"/>
      <c r="W39" s="737"/>
      <c r="X39" s="737"/>
      <c r="Y39" s="737"/>
    </row>
    <row r="40" spans="1:25">
      <c r="A40" s="95" t="s">
        <v>3</v>
      </c>
      <c r="B40" s="491">
        <f t="shared" ref="B40:H40" si="4">SUM(B32:B34)</f>
        <v>8</v>
      </c>
      <c r="C40" s="491">
        <f t="shared" si="4"/>
        <v>12</v>
      </c>
      <c r="D40" s="491">
        <f t="shared" si="4"/>
        <v>18</v>
      </c>
      <c r="E40" s="491">
        <f t="shared" si="4"/>
        <v>25</v>
      </c>
      <c r="F40" s="491">
        <f t="shared" si="4"/>
        <v>16</v>
      </c>
      <c r="G40" s="491">
        <f t="shared" si="4"/>
        <v>0</v>
      </c>
      <c r="H40" s="491">
        <f t="shared" si="4"/>
        <v>0</v>
      </c>
      <c r="I40" s="503"/>
      <c r="J40" s="503">
        <f>SUM(J32:J34)</f>
        <v>0</v>
      </c>
      <c r="K40" s="503">
        <f t="shared" ref="K40:Y40" si="5">SUM(K32:K34)</f>
        <v>0</v>
      </c>
      <c r="L40" s="503">
        <f t="shared" si="5"/>
        <v>0</v>
      </c>
      <c r="M40" s="503">
        <f t="shared" si="5"/>
        <v>0</v>
      </c>
      <c r="N40" s="503">
        <f t="shared" si="5"/>
        <v>0</v>
      </c>
      <c r="O40" s="503">
        <f t="shared" si="5"/>
        <v>0</v>
      </c>
      <c r="P40" s="503">
        <f t="shared" si="5"/>
        <v>0</v>
      </c>
      <c r="Q40" s="503">
        <f t="shared" si="5"/>
        <v>0</v>
      </c>
      <c r="R40" s="503">
        <f t="shared" si="5"/>
        <v>0</v>
      </c>
      <c r="S40" s="503">
        <f t="shared" si="5"/>
        <v>0</v>
      </c>
      <c r="T40" s="503">
        <f t="shared" si="5"/>
        <v>0</v>
      </c>
      <c r="U40" s="503">
        <f t="shared" si="5"/>
        <v>0</v>
      </c>
      <c r="V40" s="503">
        <f t="shared" si="5"/>
        <v>0</v>
      </c>
      <c r="W40" s="503">
        <f t="shared" si="5"/>
        <v>0</v>
      </c>
      <c r="X40" s="503">
        <f t="shared" si="5"/>
        <v>0</v>
      </c>
      <c r="Y40" s="503">
        <f t="shared" si="5"/>
        <v>0</v>
      </c>
    </row>
    <row r="41" spans="1:25">
      <c r="A41" s="507" t="s">
        <v>19</v>
      </c>
      <c r="B41" s="507"/>
      <c r="C41" s="507"/>
      <c r="D41" s="507"/>
      <c r="E41" s="507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</row>
    <row r="42" spans="1:25" s="461" customFormat="1">
      <c r="A42" s="398" t="s">
        <v>74</v>
      </c>
      <c r="B42" s="398"/>
      <c r="C42" s="398"/>
      <c r="D42" s="398"/>
      <c r="E42" s="398">
        <v>7</v>
      </c>
      <c r="F42" s="701">
        <v>7</v>
      </c>
      <c r="G42" s="701"/>
      <c r="H42" s="701"/>
      <c r="I42" s="701"/>
      <c r="J42" s="701">
        <f>B42</f>
        <v>0</v>
      </c>
      <c r="K42" s="701">
        <v>0</v>
      </c>
      <c r="L42" s="701">
        <v>0</v>
      </c>
      <c r="M42" s="701">
        <v>0</v>
      </c>
      <c r="N42" s="701">
        <v>0</v>
      </c>
      <c r="O42" s="701">
        <v>0</v>
      </c>
      <c r="P42" s="701">
        <v>0</v>
      </c>
      <c r="Q42" s="701">
        <v>0</v>
      </c>
      <c r="R42" s="701">
        <v>0</v>
      </c>
      <c r="S42" s="701">
        <v>0</v>
      </c>
      <c r="T42" s="701">
        <v>0</v>
      </c>
      <c r="U42" s="701">
        <v>0</v>
      </c>
      <c r="V42" s="701">
        <v>0</v>
      </c>
      <c r="W42" s="701">
        <v>0</v>
      </c>
      <c r="X42" s="701">
        <v>0</v>
      </c>
      <c r="Y42" s="701">
        <v>0</v>
      </c>
    </row>
    <row r="43" spans="1:25" s="461" customFormat="1">
      <c r="A43" s="681" t="s">
        <v>396</v>
      </c>
      <c r="B43" s="100"/>
      <c r="C43" s="100"/>
      <c r="D43" s="100"/>
      <c r="E43" s="100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</row>
    <row r="44" spans="1:25" s="461" customFormat="1">
      <c r="A44" s="100"/>
      <c r="B44" s="100"/>
      <c r="C44" s="100"/>
      <c r="D44" s="100"/>
      <c r="E44" s="100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</row>
    <row r="45" spans="1:25" s="461" customFormat="1">
      <c r="A45" s="100"/>
      <c r="B45" s="100"/>
      <c r="C45" s="100"/>
      <c r="D45" s="100"/>
      <c r="E45" s="100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</row>
    <row r="46" spans="1:25" s="461" customFormat="1">
      <c r="A46" s="100"/>
      <c r="B46" s="100"/>
      <c r="C46" s="100"/>
      <c r="D46" s="100"/>
      <c r="E46" s="100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</row>
    <row r="47" spans="1:25">
      <c r="A47" s="401"/>
      <c r="B47" s="401"/>
      <c r="C47" s="401"/>
      <c r="D47" s="401"/>
      <c r="E47" s="401"/>
      <c r="F47" s="737"/>
      <c r="G47" s="737"/>
      <c r="H47" s="737"/>
      <c r="I47" s="737"/>
      <c r="J47" s="737"/>
      <c r="K47" s="737"/>
      <c r="L47" s="737"/>
      <c r="M47" s="737"/>
      <c r="N47" s="737"/>
      <c r="O47" s="737"/>
      <c r="P47" s="737"/>
      <c r="Q47" s="737"/>
      <c r="R47" s="737"/>
      <c r="S47" s="737"/>
      <c r="T47" s="737"/>
      <c r="U47" s="737"/>
      <c r="V47" s="737"/>
      <c r="W47" s="737"/>
      <c r="X47" s="737"/>
      <c r="Y47" s="737"/>
    </row>
    <row r="48" spans="1:25">
      <c r="A48" s="95" t="s">
        <v>3</v>
      </c>
      <c r="B48" s="491">
        <f t="shared" ref="B48:H48" si="6">SUM(B42:B47)</f>
        <v>0</v>
      </c>
      <c r="C48" s="491">
        <f t="shared" si="6"/>
        <v>0</v>
      </c>
      <c r="D48" s="491">
        <f t="shared" si="6"/>
        <v>0</v>
      </c>
      <c r="E48" s="491">
        <f t="shared" si="6"/>
        <v>7</v>
      </c>
      <c r="F48" s="491">
        <f t="shared" si="6"/>
        <v>7</v>
      </c>
      <c r="G48" s="491">
        <f t="shared" si="6"/>
        <v>0</v>
      </c>
      <c r="H48" s="491">
        <f t="shared" si="6"/>
        <v>0</v>
      </c>
      <c r="I48" s="491"/>
      <c r="J48" s="491">
        <f>SUM(J42:J47)</f>
        <v>0</v>
      </c>
      <c r="K48" s="491">
        <f t="shared" ref="K48:Y48" si="7">SUM(K42:K47)</f>
        <v>0</v>
      </c>
      <c r="L48" s="491">
        <f t="shared" si="7"/>
        <v>0</v>
      </c>
      <c r="M48" s="491">
        <f t="shared" si="7"/>
        <v>0</v>
      </c>
      <c r="N48" s="491">
        <f t="shared" si="7"/>
        <v>0</v>
      </c>
      <c r="O48" s="491">
        <f t="shared" si="7"/>
        <v>0</v>
      </c>
      <c r="P48" s="491">
        <f t="shared" si="7"/>
        <v>0</v>
      </c>
      <c r="Q48" s="491">
        <f t="shared" si="7"/>
        <v>0</v>
      </c>
      <c r="R48" s="491">
        <f t="shared" si="7"/>
        <v>0</v>
      </c>
      <c r="S48" s="491">
        <f t="shared" si="7"/>
        <v>0</v>
      </c>
      <c r="T48" s="491">
        <f t="shared" si="7"/>
        <v>0</v>
      </c>
      <c r="U48" s="491">
        <f t="shared" si="7"/>
        <v>0</v>
      </c>
      <c r="V48" s="491">
        <f t="shared" si="7"/>
        <v>0</v>
      </c>
      <c r="W48" s="491">
        <f t="shared" si="7"/>
        <v>0</v>
      </c>
      <c r="X48" s="491">
        <f t="shared" si="7"/>
        <v>0</v>
      </c>
      <c r="Y48" s="491">
        <f t="shared" si="7"/>
        <v>0</v>
      </c>
    </row>
    <row r="49" spans="1:25" hidden="1">
      <c r="A49" s="507" t="s">
        <v>15</v>
      </c>
      <c r="B49" s="507"/>
      <c r="C49" s="507"/>
      <c r="D49" s="507"/>
      <c r="E49" s="507"/>
      <c r="F49" s="502"/>
      <c r="G49" s="502"/>
      <c r="H49" s="502"/>
      <c r="I49" s="502"/>
      <c r="J49" s="50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</row>
    <row r="50" spans="1:25" s="461" customFormat="1" hidden="1">
      <c r="A50" s="100" t="s">
        <v>130</v>
      </c>
      <c r="B50" s="100"/>
      <c r="C50" s="100"/>
      <c r="D50" s="100"/>
      <c r="E50" s="100"/>
      <c r="F50" s="614"/>
      <c r="G50" s="614"/>
      <c r="H50" s="614"/>
      <c r="I50" s="614">
        <f>SUM(C50:H50)</f>
        <v>0</v>
      </c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</row>
    <row r="51" spans="1:25" hidden="1">
      <c r="A51" s="99"/>
      <c r="B51" s="259"/>
      <c r="C51" s="259"/>
      <c r="D51" s="259"/>
      <c r="E51" s="259"/>
      <c r="F51" s="502"/>
      <c r="G51" s="502"/>
      <c r="H51" s="502"/>
      <c r="I51" s="502"/>
      <c r="J51" s="502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</row>
    <row r="52" spans="1:25" hidden="1">
      <c r="A52" s="671" t="s">
        <v>3</v>
      </c>
      <c r="B52" s="671"/>
      <c r="C52" s="499">
        <f t="shared" ref="C52:H52" si="8">SUM(C50:C51)</f>
        <v>0</v>
      </c>
      <c r="D52" s="499">
        <f t="shared" si="8"/>
        <v>0</v>
      </c>
      <c r="E52" s="499">
        <f t="shared" si="8"/>
        <v>0</v>
      </c>
      <c r="F52" s="499">
        <f t="shared" si="8"/>
        <v>0</v>
      </c>
      <c r="G52" s="499">
        <f t="shared" si="8"/>
        <v>0</v>
      </c>
      <c r="H52" s="499">
        <f t="shared" si="8"/>
        <v>0</v>
      </c>
      <c r="I52" s="499">
        <f>SUM(B52:H52)</f>
        <v>0</v>
      </c>
      <c r="J52" s="502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</row>
    <row r="53" spans="1:25">
      <c r="A53" s="98" t="s">
        <v>26</v>
      </c>
      <c r="B53" s="98"/>
      <c r="C53" s="98"/>
      <c r="D53" s="98"/>
      <c r="E53" s="98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</row>
    <row r="54" spans="1:25" s="461" customFormat="1">
      <c r="A54" s="398" t="s">
        <v>57</v>
      </c>
      <c r="B54" s="398">
        <v>32</v>
      </c>
      <c r="C54" s="398">
        <f>13+13</f>
        <v>26</v>
      </c>
      <c r="D54" s="398">
        <v>15</v>
      </c>
      <c r="E54" s="398">
        <v>9</v>
      </c>
      <c r="F54" s="701">
        <v>4</v>
      </c>
      <c r="G54" s="701"/>
      <c r="H54" s="701"/>
      <c r="I54" s="701"/>
      <c r="J54" s="701"/>
      <c r="K54" s="701"/>
      <c r="L54" s="701"/>
      <c r="M54" s="701"/>
      <c r="N54" s="701"/>
      <c r="O54" s="701"/>
      <c r="P54" s="701"/>
      <c r="Q54" s="701"/>
      <c r="R54" s="701"/>
      <c r="S54" s="701"/>
      <c r="T54" s="701"/>
      <c r="U54" s="701"/>
      <c r="V54" s="701"/>
      <c r="W54" s="701"/>
      <c r="X54" s="701"/>
      <c r="Y54" s="701"/>
    </row>
    <row r="55" spans="1:25" s="461" customFormat="1">
      <c r="A55" s="100" t="s">
        <v>172</v>
      </c>
      <c r="B55" s="100"/>
      <c r="C55" s="100">
        <f>4+3</f>
        <v>7</v>
      </c>
      <c r="D55" s="100">
        <f>13</f>
        <v>13</v>
      </c>
      <c r="E55" s="100">
        <f>8+4</f>
        <v>12</v>
      </c>
      <c r="F55" s="614">
        <v>8</v>
      </c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</row>
    <row r="56" spans="1:25" s="461" customFormat="1">
      <c r="A56" s="100"/>
      <c r="B56" s="100"/>
      <c r="C56" s="100"/>
      <c r="D56" s="100"/>
      <c r="E56" s="100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</row>
    <row r="57" spans="1:25" s="461" customFormat="1">
      <c r="A57" s="100"/>
      <c r="B57" s="100"/>
      <c r="C57" s="100"/>
      <c r="D57" s="100"/>
      <c r="E57" s="100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</row>
    <row r="58" spans="1:25" s="461" customFormat="1">
      <c r="A58" s="100"/>
      <c r="B58" s="100"/>
      <c r="C58" s="100"/>
      <c r="D58" s="100"/>
      <c r="E58" s="100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</row>
    <row r="59" spans="1:25" s="461" customFormat="1">
      <c r="A59" s="100"/>
      <c r="B59" s="100"/>
      <c r="C59" s="100"/>
      <c r="D59" s="100"/>
      <c r="E59" s="100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</row>
    <row r="60" spans="1:25" s="461" customFormat="1">
      <c r="A60" s="100"/>
      <c r="B60" s="100"/>
      <c r="C60" s="100"/>
      <c r="D60" s="100"/>
      <c r="E60" s="100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</row>
    <row r="61" spans="1:25" s="461" customFormat="1">
      <c r="A61" s="401"/>
      <c r="B61" s="401"/>
      <c r="C61" s="401"/>
      <c r="D61" s="401"/>
      <c r="E61" s="401"/>
      <c r="F61" s="737"/>
      <c r="G61" s="737"/>
      <c r="H61" s="737"/>
      <c r="I61" s="737"/>
      <c r="J61" s="737"/>
      <c r="K61" s="737"/>
      <c r="L61" s="737"/>
      <c r="M61" s="737"/>
      <c r="N61" s="737"/>
      <c r="O61" s="737"/>
      <c r="P61" s="737"/>
      <c r="Q61" s="737"/>
      <c r="R61" s="737"/>
      <c r="S61" s="737"/>
      <c r="T61" s="737"/>
      <c r="U61" s="737"/>
      <c r="V61" s="737"/>
      <c r="W61" s="737"/>
      <c r="X61" s="737"/>
      <c r="Y61" s="737"/>
    </row>
    <row r="62" spans="1:25">
      <c r="A62" s="95" t="s">
        <v>3</v>
      </c>
      <c r="B62" s="491">
        <f t="shared" ref="B62:H62" si="9">SUM(B54:B55)</f>
        <v>32</v>
      </c>
      <c r="C62" s="491">
        <f t="shared" si="9"/>
        <v>33</v>
      </c>
      <c r="D62" s="491">
        <f t="shared" si="9"/>
        <v>28</v>
      </c>
      <c r="E62" s="491">
        <f t="shared" si="9"/>
        <v>21</v>
      </c>
      <c r="F62" s="491">
        <f t="shared" si="9"/>
        <v>12</v>
      </c>
      <c r="G62" s="491">
        <f t="shared" si="9"/>
        <v>0</v>
      </c>
      <c r="H62" s="491">
        <f t="shared" si="9"/>
        <v>0</v>
      </c>
      <c r="I62" s="503"/>
      <c r="J62" s="503">
        <f>SUM(J54:J55)</f>
        <v>0</v>
      </c>
      <c r="K62" s="503">
        <f t="shared" ref="K62:Y62" si="10">SUM(K54:K55)</f>
        <v>0</v>
      </c>
      <c r="L62" s="503">
        <f t="shared" si="10"/>
        <v>0</v>
      </c>
      <c r="M62" s="503">
        <f t="shared" si="10"/>
        <v>0</v>
      </c>
      <c r="N62" s="503">
        <f t="shared" si="10"/>
        <v>0</v>
      </c>
      <c r="O62" s="503">
        <f t="shared" si="10"/>
        <v>0</v>
      </c>
      <c r="P62" s="503">
        <f t="shared" si="10"/>
        <v>0</v>
      </c>
      <c r="Q62" s="503">
        <f t="shared" si="10"/>
        <v>0</v>
      </c>
      <c r="R62" s="503">
        <f t="shared" si="10"/>
        <v>0</v>
      </c>
      <c r="S62" s="503">
        <f t="shared" si="10"/>
        <v>0</v>
      </c>
      <c r="T62" s="503">
        <f t="shared" si="10"/>
        <v>0</v>
      </c>
      <c r="U62" s="503">
        <f t="shared" si="10"/>
        <v>0</v>
      </c>
      <c r="V62" s="503">
        <f t="shared" si="10"/>
        <v>0</v>
      </c>
      <c r="W62" s="503">
        <f t="shared" si="10"/>
        <v>0</v>
      </c>
      <c r="X62" s="503">
        <f t="shared" si="10"/>
        <v>0</v>
      </c>
      <c r="Y62" s="503">
        <f t="shared" si="10"/>
        <v>0</v>
      </c>
    </row>
    <row r="63" spans="1:25">
      <c r="A63" s="98" t="s">
        <v>127</v>
      </c>
      <c r="B63" s="98"/>
      <c r="C63" s="98"/>
      <c r="D63" s="98"/>
      <c r="E63" s="98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</row>
    <row r="64" spans="1:25" hidden="1">
      <c r="A64" s="513" t="s">
        <v>128</v>
      </c>
      <c r="B64" s="513"/>
      <c r="C64" s="513"/>
      <c r="D64" s="513"/>
      <c r="E64" s="513"/>
      <c r="F64" s="491"/>
      <c r="G64" s="491"/>
      <c r="H64" s="491"/>
      <c r="I64" s="491">
        <f>SUM(D64:H64)</f>
        <v>0</v>
      </c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</row>
    <row r="65" spans="1:25">
      <c r="A65" s="513" t="s">
        <v>129</v>
      </c>
      <c r="B65" s="513">
        <v>180</v>
      </c>
      <c r="C65" s="513">
        <v>13</v>
      </c>
      <c r="D65" s="513">
        <v>27</v>
      </c>
      <c r="E65" s="513"/>
      <c r="F65" s="491"/>
      <c r="G65" s="491"/>
      <c r="H65" s="491"/>
      <c r="I65" s="491"/>
      <c r="J65" s="614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</row>
    <row r="66" spans="1:25" s="461" customFormat="1">
      <c r="A66" s="95" t="s">
        <v>3</v>
      </c>
      <c r="B66" s="491">
        <f>SUM(B64:B65)</f>
        <v>180</v>
      </c>
      <c r="C66" s="491">
        <f>SUM(C64:C65)</f>
        <v>13</v>
      </c>
      <c r="D66" s="491">
        <f>SUM(D64:D65)</f>
        <v>27</v>
      </c>
      <c r="E66" s="513"/>
      <c r="F66" s="491">
        <f>SUM(F64:F65)</f>
        <v>0</v>
      </c>
      <c r="G66" s="491">
        <f>SUM(G64:G65)</f>
        <v>0</v>
      </c>
      <c r="H66" s="491"/>
      <c r="I66" s="503"/>
      <c r="J66" s="503"/>
      <c r="K66" s="503"/>
      <c r="L66" s="503"/>
      <c r="M66" s="503"/>
      <c r="N66" s="503"/>
      <c r="O66" s="503"/>
      <c r="P66" s="503">
        <f t="shared" ref="P66:Y66" si="11">SUM(P65)</f>
        <v>0</v>
      </c>
      <c r="Q66" s="503">
        <f t="shared" si="11"/>
        <v>0</v>
      </c>
      <c r="R66" s="503">
        <f t="shared" si="11"/>
        <v>0</v>
      </c>
      <c r="S66" s="503">
        <f t="shared" si="11"/>
        <v>0</v>
      </c>
      <c r="T66" s="503">
        <f t="shared" si="11"/>
        <v>0</v>
      </c>
      <c r="U66" s="503">
        <f t="shared" si="11"/>
        <v>0</v>
      </c>
      <c r="V66" s="503">
        <f t="shared" si="11"/>
        <v>0</v>
      </c>
      <c r="W66" s="503">
        <f t="shared" si="11"/>
        <v>0</v>
      </c>
      <c r="X66" s="503">
        <f t="shared" si="11"/>
        <v>0</v>
      </c>
      <c r="Y66" s="503">
        <f t="shared" si="11"/>
        <v>0</v>
      </c>
    </row>
    <row r="67" spans="1:25">
      <c r="A67" s="279" t="s">
        <v>36</v>
      </c>
      <c r="B67" s="279">
        <f t="shared" ref="B67:H67" si="12">SUM(B19,B30,B40,B48,B52,B62,B66)</f>
        <v>374</v>
      </c>
      <c r="C67" s="279">
        <f t="shared" si="12"/>
        <v>216</v>
      </c>
      <c r="D67" s="279">
        <f t="shared" si="12"/>
        <v>184</v>
      </c>
      <c r="E67" s="279">
        <f t="shared" si="12"/>
        <v>139</v>
      </c>
      <c r="F67" s="279">
        <f t="shared" si="12"/>
        <v>121</v>
      </c>
      <c r="G67" s="279">
        <f t="shared" si="12"/>
        <v>6</v>
      </c>
      <c r="H67" s="279">
        <f t="shared" si="12"/>
        <v>0</v>
      </c>
      <c r="I67" s="705">
        <f>SUM(B67:H67)</f>
        <v>1040</v>
      </c>
      <c r="J67" s="705">
        <f>J19+J30+J40+J48+J62+J66</f>
        <v>0</v>
      </c>
      <c r="K67" s="705">
        <f t="shared" ref="K67:Y67" si="13">K19+K30+K40+K48+K62+K66</f>
        <v>0</v>
      </c>
      <c r="L67" s="705">
        <f t="shared" si="13"/>
        <v>0</v>
      </c>
      <c r="M67" s="705">
        <f t="shared" si="13"/>
        <v>0</v>
      </c>
      <c r="N67" s="705">
        <f t="shared" si="13"/>
        <v>0</v>
      </c>
      <c r="O67" s="705">
        <f t="shared" si="13"/>
        <v>0</v>
      </c>
      <c r="P67" s="705">
        <f t="shared" si="13"/>
        <v>0</v>
      </c>
      <c r="Q67" s="705">
        <f t="shared" si="13"/>
        <v>0</v>
      </c>
      <c r="R67" s="705">
        <f t="shared" si="13"/>
        <v>0</v>
      </c>
      <c r="S67" s="705">
        <f t="shared" si="13"/>
        <v>0</v>
      </c>
      <c r="T67" s="705">
        <f t="shared" si="13"/>
        <v>0</v>
      </c>
      <c r="U67" s="705">
        <f t="shared" si="13"/>
        <v>0</v>
      </c>
      <c r="V67" s="705">
        <f t="shared" si="13"/>
        <v>0</v>
      </c>
      <c r="W67" s="705">
        <f t="shared" si="13"/>
        <v>0</v>
      </c>
      <c r="X67" s="705">
        <f t="shared" si="13"/>
        <v>0</v>
      </c>
      <c r="Y67" s="705">
        <f t="shared" si="13"/>
        <v>0</v>
      </c>
    </row>
    <row r="68" spans="1:25" hidden="1">
      <c r="A68" s="646"/>
      <c r="B68" s="646"/>
      <c r="C68" s="702" t="s">
        <v>269</v>
      </c>
      <c r="D68" s="703" t="s">
        <v>270</v>
      </c>
      <c r="E68" s="608" t="s">
        <v>3</v>
      </c>
      <c r="F68" s="531"/>
      <c r="G68" s="502"/>
    </row>
    <row r="69" spans="1:25" hidden="1">
      <c r="A69" s="610" t="s">
        <v>40</v>
      </c>
      <c r="B69" s="610"/>
      <c r="C69" s="609">
        <f>แผนรับบัณฑิตศึกษาต่างชาติ!I66</f>
        <v>0</v>
      </c>
      <c r="D69" s="610"/>
      <c r="E69" s="611">
        <f>SUM(C69:D69)</f>
        <v>0</v>
      </c>
      <c r="F69" s="491"/>
      <c r="G69" s="491"/>
      <c r="H69" s="491"/>
      <c r="I69" s="421">
        <f>'ปกติ (2)'!I135+'ปกติ (2)'!I136</f>
        <v>35</v>
      </c>
    </row>
    <row r="70" spans="1:25" hidden="1">
      <c r="A70" s="610" t="s">
        <v>51</v>
      </c>
      <c r="B70" s="610"/>
      <c r="C70" s="609" t="e">
        <f>#REF!</f>
        <v>#REF!</v>
      </c>
      <c r="D70" s="609" t="e">
        <f>#REF!</f>
        <v>#REF!</v>
      </c>
      <c r="E70" s="611" t="e">
        <f>SUM(C70:D70)</f>
        <v>#REF!</v>
      </c>
      <c r="F70" s="491"/>
      <c r="G70" s="491"/>
      <c r="H70" s="491"/>
      <c r="I70" s="421">
        <f>SUM(I67:I69)</f>
        <v>1075</v>
      </c>
    </row>
    <row r="71" spans="1:25" hidden="1">
      <c r="A71" s="610" t="s">
        <v>151</v>
      </c>
      <c r="B71" s="610"/>
      <c r="C71" s="609" t="e">
        <f>#REF!</f>
        <v>#REF!</v>
      </c>
      <c r="D71" s="609" t="e">
        <f>#REF!</f>
        <v>#REF!</v>
      </c>
      <c r="E71" s="611" t="e">
        <f>SUM(C71:D71)</f>
        <v>#REF!</v>
      </c>
      <c r="F71" s="491"/>
      <c r="G71" s="491"/>
      <c r="H71" s="491"/>
    </row>
    <row r="72" spans="1:25" hidden="1">
      <c r="A72" s="647" t="s">
        <v>3</v>
      </c>
      <c r="B72" s="647"/>
      <c r="C72" s="744" t="e">
        <f>SUM(C69:C71)</f>
        <v>#REF!</v>
      </c>
      <c r="D72" s="744" t="e">
        <f>SUM(D69:D71)</f>
        <v>#REF!</v>
      </c>
      <c r="E72" s="744" t="e">
        <f>SUM(E69:E71)</f>
        <v>#REF!</v>
      </c>
      <c r="F72" s="491"/>
      <c r="G72" s="491"/>
      <c r="H72" s="491"/>
    </row>
    <row r="73" spans="1:25" hidden="1"/>
    <row r="74" spans="1:25" hidden="1">
      <c r="A74" s="837" t="s">
        <v>353</v>
      </c>
      <c r="B74" s="838"/>
      <c r="C74" s="838"/>
      <c r="D74" s="838"/>
    </row>
    <row r="75" spans="1:25" hidden="1"/>
    <row r="76" spans="1:25" hidden="1"/>
    <row r="77" spans="1:25" hidden="1"/>
    <row r="78" spans="1:25" hidden="1"/>
    <row r="79" spans="1:25" hidden="1"/>
    <row r="80" spans="1:25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</sheetData>
  <mergeCells count="6">
    <mergeCell ref="A74:D74"/>
    <mergeCell ref="A1:Y1"/>
    <mergeCell ref="K3:Y3"/>
    <mergeCell ref="A3:A4"/>
    <mergeCell ref="I3:I4"/>
    <mergeCell ref="J3:J4"/>
  </mergeCells>
  <printOptions horizontalCentered="1"/>
  <pageMargins left="0.47244094488188981" right="0.55118110236220474" top="0.78740157480314965" bottom="0.59055118110236227" header="0.51181102362204722" footer="0.51181102362204722"/>
  <pageSetup paperSize="9" scale="80" orientation="landscape" r:id="rId1"/>
  <headerFooter alignWithMargins="0">
    <oddFooter>หน้าที่ &amp;P จาก &amp;N</oddFooter>
  </headerFooter>
  <rowBreaks count="1" manualBreakCount="1">
    <brk id="52" max="3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13" sqref="O13"/>
    </sheetView>
  </sheetViews>
  <sheetFormatPr defaultRowHeight="21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>
      <c r="A1" s="891" t="s">
        <v>180</v>
      </c>
      <c r="B1" s="892"/>
      <c r="C1" s="892"/>
      <c r="D1" s="892"/>
      <c r="E1" s="892"/>
      <c r="F1" s="892"/>
      <c r="G1" s="892"/>
      <c r="H1" s="892"/>
      <c r="I1" s="892"/>
      <c r="J1" s="893"/>
    </row>
    <row r="2" spans="1:10" ht="23.25">
      <c r="A2" s="894" t="s">
        <v>181</v>
      </c>
      <c r="B2" s="895"/>
      <c r="C2" s="895"/>
      <c r="D2" s="895"/>
      <c r="E2" s="895"/>
      <c r="F2" s="895"/>
      <c r="G2" s="895"/>
      <c r="H2" s="895"/>
      <c r="I2" s="895"/>
      <c r="J2" s="896"/>
    </row>
    <row r="4" spans="1:10">
      <c r="A4" s="890" t="s">
        <v>43</v>
      </c>
      <c r="B4" s="889" t="s">
        <v>182</v>
      </c>
      <c r="C4" s="889"/>
      <c r="D4" s="889"/>
      <c r="E4" s="889"/>
      <c r="F4" s="889"/>
      <c r="G4" s="889"/>
      <c r="H4" s="889"/>
      <c r="I4" s="889"/>
      <c r="J4" s="889"/>
    </row>
    <row r="5" spans="1:10">
      <c r="A5" s="890"/>
      <c r="B5" s="481">
        <v>2555</v>
      </c>
      <c r="C5" s="225">
        <v>2556</v>
      </c>
      <c r="D5" s="481" t="s">
        <v>1</v>
      </c>
      <c r="E5" s="481" t="s">
        <v>2</v>
      </c>
      <c r="F5" s="481">
        <v>2557</v>
      </c>
      <c r="G5" s="481">
        <v>2558</v>
      </c>
      <c r="H5" s="618">
        <v>2559</v>
      </c>
      <c r="I5" s="481">
        <v>2560</v>
      </c>
      <c r="J5" s="481">
        <v>2561</v>
      </c>
    </row>
    <row r="6" spans="1:10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619">
        <v>25</v>
      </c>
      <c r="I6" s="149">
        <v>25</v>
      </c>
      <c r="J6" s="149">
        <v>25</v>
      </c>
    </row>
    <row r="7" spans="1:10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620">
        <v>24</v>
      </c>
      <c r="I7" s="150">
        <v>25</v>
      </c>
      <c r="J7" s="150">
        <v>25</v>
      </c>
    </row>
    <row r="8" spans="1:10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620">
        <v>23</v>
      </c>
      <c r="I8" s="150">
        <v>25</v>
      </c>
      <c r="J8" s="150">
        <v>25</v>
      </c>
    </row>
    <row r="9" spans="1:10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620">
        <v>25</v>
      </c>
      <c r="I9" s="150">
        <v>27</v>
      </c>
      <c r="J9" s="150">
        <v>25</v>
      </c>
    </row>
    <row r="10" spans="1:10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620">
        <v>24</v>
      </c>
      <c r="I10" s="150">
        <v>24</v>
      </c>
      <c r="J10" s="150">
        <v>27</v>
      </c>
    </row>
    <row r="11" spans="1:10">
      <c r="A11" s="150" t="s">
        <v>188</v>
      </c>
      <c r="B11" s="150"/>
      <c r="C11" s="227"/>
      <c r="D11" s="150"/>
      <c r="E11" s="150"/>
      <c r="F11" s="150"/>
      <c r="G11" s="150">
        <v>24</v>
      </c>
      <c r="H11" s="620">
        <v>22</v>
      </c>
      <c r="I11" s="150">
        <v>29</v>
      </c>
      <c r="J11" s="150">
        <v>24</v>
      </c>
    </row>
    <row r="12" spans="1:10">
      <c r="A12" s="150" t="s">
        <v>189</v>
      </c>
      <c r="B12" s="150"/>
      <c r="C12" s="227"/>
      <c r="D12" s="150"/>
      <c r="E12" s="150"/>
      <c r="F12" s="150"/>
      <c r="G12" s="150"/>
      <c r="H12" s="620">
        <v>21</v>
      </c>
      <c r="I12" s="150">
        <v>23</v>
      </c>
      <c r="J12" s="150">
        <v>29</v>
      </c>
    </row>
    <row r="13" spans="1:10">
      <c r="A13" s="150" t="s">
        <v>190</v>
      </c>
      <c r="B13" s="150"/>
      <c r="C13" s="227"/>
      <c r="D13" s="150"/>
      <c r="E13" s="150"/>
      <c r="F13" s="150"/>
      <c r="G13" s="150"/>
      <c r="H13" s="620"/>
      <c r="I13" s="150">
        <v>24</v>
      </c>
      <c r="J13" s="150">
        <v>23</v>
      </c>
    </row>
    <row r="14" spans="1:10">
      <c r="A14" s="151" t="s">
        <v>191</v>
      </c>
      <c r="B14" s="151"/>
      <c r="C14" s="228"/>
      <c r="D14" s="151"/>
      <c r="E14" s="151"/>
      <c r="F14" s="151"/>
      <c r="G14" s="151"/>
      <c r="H14" s="621"/>
      <c r="I14" s="151"/>
      <c r="J14" s="151">
        <v>24</v>
      </c>
    </row>
    <row r="15" spans="1:10">
      <c r="A15" s="48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152</v>
      </c>
      <c r="H15" s="622">
        <f t="shared" si="1"/>
        <v>164</v>
      </c>
      <c r="I15" s="154">
        <f t="shared" si="1"/>
        <v>202</v>
      </c>
      <c r="J15" s="154">
        <f t="shared" si="1"/>
        <v>227</v>
      </c>
    </row>
    <row r="16" spans="1:10">
      <c r="C16" s="230" t="e">
        <f>C15-#REF!</f>
        <v>#REF!</v>
      </c>
      <c r="D16" s="927" t="s">
        <v>259</v>
      </c>
      <c r="E16" s="928"/>
      <c r="F16" s="516">
        <f>H6+H7+H8</f>
        <v>72</v>
      </c>
    </row>
    <row r="17" spans="1:6">
      <c r="C17" s="230">
        <v>24</v>
      </c>
      <c r="D17" s="927" t="s">
        <v>260</v>
      </c>
      <c r="E17" s="928"/>
      <c r="F17" s="516">
        <f>H9+H10+H11+H12</f>
        <v>92</v>
      </c>
    </row>
    <row r="18" spans="1:6">
      <c r="C18" s="230" t="e">
        <f>SUM(C16:C16)</f>
        <v>#REF!</v>
      </c>
      <c r="D18" s="925" t="s">
        <v>3</v>
      </c>
      <c r="E18" s="926"/>
      <c r="F18" s="154">
        <f>SUM(F16:F17)</f>
        <v>164</v>
      </c>
    </row>
    <row r="19" spans="1:6">
      <c r="A19" s="623" t="s">
        <v>341</v>
      </c>
    </row>
    <row r="20" spans="1:6">
      <c r="A20" s="623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H20" sqref="H20"/>
    </sheetView>
  </sheetViews>
  <sheetFormatPr defaultRowHeight="21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>
      <c r="A1" s="891" t="s">
        <v>180</v>
      </c>
      <c r="B1" s="892"/>
      <c r="C1" s="892"/>
      <c r="D1" s="892"/>
      <c r="E1" s="892"/>
      <c r="F1" s="892"/>
      <c r="G1" s="892"/>
      <c r="H1" s="892"/>
      <c r="I1" s="892"/>
      <c r="J1" s="893"/>
    </row>
    <row r="2" spans="1:10" ht="23.25">
      <c r="A2" s="894" t="s">
        <v>181</v>
      </c>
      <c r="B2" s="895"/>
      <c r="C2" s="895"/>
      <c r="D2" s="895"/>
      <c r="E2" s="895"/>
      <c r="F2" s="895"/>
      <c r="G2" s="895"/>
      <c r="H2" s="895"/>
      <c r="I2" s="895"/>
      <c r="J2" s="896"/>
    </row>
    <row r="4" spans="1:10">
      <c r="A4" s="890" t="s">
        <v>43</v>
      </c>
      <c r="B4" s="889" t="s">
        <v>182</v>
      </c>
      <c r="C4" s="889"/>
      <c r="D4" s="889"/>
      <c r="E4" s="889"/>
      <c r="F4" s="889"/>
      <c r="G4" s="889"/>
      <c r="H4" s="889"/>
      <c r="I4" s="889"/>
      <c r="J4" s="889"/>
    </row>
    <row r="5" spans="1:10">
      <c r="A5" s="890"/>
      <c r="B5" s="571">
        <v>2555</v>
      </c>
      <c r="C5" s="225">
        <v>2556</v>
      </c>
      <c r="D5" s="571" t="s">
        <v>1</v>
      </c>
      <c r="E5" s="571" t="s">
        <v>2</v>
      </c>
      <c r="F5" s="571">
        <v>2557</v>
      </c>
      <c r="G5" s="571">
        <v>2558</v>
      </c>
      <c r="H5" s="571">
        <v>2559</v>
      </c>
      <c r="I5" s="571">
        <v>2560</v>
      </c>
      <c r="J5" s="571">
        <v>2561</v>
      </c>
    </row>
    <row r="6" spans="1:10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149">
        <v>25</v>
      </c>
      <c r="I6" s="149">
        <v>25</v>
      </c>
      <c r="J6" s="149">
        <v>25</v>
      </c>
    </row>
    <row r="7" spans="1:10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150">
        <v>25</v>
      </c>
      <c r="I7" s="150">
        <v>25</v>
      </c>
      <c r="J7" s="150">
        <v>25</v>
      </c>
    </row>
    <row r="8" spans="1:10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150">
        <v>27</v>
      </c>
      <c r="I8" s="150">
        <v>25</v>
      </c>
      <c r="J8" s="150">
        <v>25</v>
      </c>
    </row>
    <row r="9" spans="1:10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150">
        <v>24</v>
      </c>
      <c r="I9" s="150">
        <v>27</v>
      </c>
      <c r="J9" s="150">
        <v>25</v>
      </c>
    </row>
    <row r="10" spans="1:10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150">
        <v>29</v>
      </c>
      <c r="I10" s="150">
        <v>24</v>
      </c>
      <c r="J10" s="150">
        <v>27</v>
      </c>
    </row>
    <row r="11" spans="1:10">
      <c r="A11" s="150" t="s">
        <v>188</v>
      </c>
      <c r="B11" s="150"/>
      <c r="C11" s="227"/>
      <c r="D11" s="150"/>
      <c r="E11" s="150"/>
      <c r="F11" s="150"/>
      <c r="G11" s="150"/>
      <c r="H11" s="150">
        <v>23</v>
      </c>
      <c r="I11" s="150">
        <v>29</v>
      </c>
      <c r="J11" s="150">
        <v>24</v>
      </c>
    </row>
    <row r="12" spans="1:10">
      <c r="A12" s="150" t="s">
        <v>189</v>
      </c>
      <c r="B12" s="150"/>
      <c r="C12" s="227"/>
      <c r="D12" s="150"/>
      <c r="E12" s="150"/>
      <c r="F12" s="150"/>
      <c r="G12" s="150"/>
      <c r="H12" s="150">
        <v>24</v>
      </c>
      <c r="I12" s="150">
        <v>23</v>
      </c>
      <c r="J12" s="150">
        <v>29</v>
      </c>
    </row>
    <row r="13" spans="1:10">
      <c r="A13" s="150" t="s">
        <v>190</v>
      </c>
      <c r="B13" s="150"/>
      <c r="C13" s="227"/>
      <c r="D13" s="150"/>
      <c r="E13" s="150"/>
      <c r="F13" s="150"/>
      <c r="G13" s="150"/>
      <c r="H13" s="150"/>
      <c r="I13" s="150">
        <v>24</v>
      </c>
      <c r="J13" s="150">
        <v>23</v>
      </c>
    </row>
    <row r="14" spans="1:10">
      <c r="A14" s="151" t="s">
        <v>191</v>
      </c>
      <c r="B14" s="151"/>
      <c r="C14" s="228"/>
      <c r="D14" s="151"/>
      <c r="E14" s="151"/>
      <c r="F14" s="151"/>
      <c r="G14" s="151"/>
      <c r="H14" s="151"/>
      <c r="I14" s="151"/>
      <c r="J14" s="151">
        <v>24</v>
      </c>
    </row>
    <row r="15" spans="1:10">
      <c r="A15" s="57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128</v>
      </c>
      <c r="H15" s="154">
        <f t="shared" si="1"/>
        <v>177</v>
      </c>
      <c r="I15" s="154">
        <f t="shared" si="1"/>
        <v>202</v>
      </c>
      <c r="J15" s="154">
        <f t="shared" si="1"/>
        <v>227</v>
      </c>
    </row>
    <row r="16" spans="1:10">
      <c r="C16" s="230" t="e">
        <f>C15-#REF!</f>
        <v>#REF!</v>
      </c>
      <c r="D16" s="927" t="s">
        <v>259</v>
      </c>
      <c r="E16" s="928"/>
      <c r="F16" s="516">
        <f>F6+F7+F8</f>
        <v>80</v>
      </c>
    </row>
    <row r="17" spans="1:6">
      <c r="C17" s="230">
        <v>24</v>
      </c>
      <c r="D17" s="927" t="s">
        <v>260</v>
      </c>
      <c r="E17" s="928"/>
      <c r="F17" s="516">
        <f>F9+F10</f>
        <v>47</v>
      </c>
    </row>
    <row r="18" spans="1:6">
      <c r="C18" s="230" t="e">
        <f>SUM(C16:C16)</f>
        <v>#REF!</v>
      </c>
      <c r="D18" s="925" t="s">
        <v>3</v>
      </c>
      <c r="E18" s="926"/>
      <c r="F18" s="154">
        <f>SUM(F16:F17)</f>
        <v>127</v>
      </c>
    </row>
    <row r="19" spans="1:6">
      <c r="A19" s="517" t="s">
        <v>303</v>
      </c>
    </row>
    <row r="20" spans="1:6">
      <c r="A20" s="517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>
      <selection activeCell="B40" sqref="B40"/>
    </sheetView>
  </sheetViews>
  <sheetFormatPr defaultRowHeight="21"/>
  <cols>
    <col min="1" max="1" width="47.7109375" style="148" customWidth="1"/>
    <col min="2" max="7" width="8.42578125" style="574" customWidth="1"/>
    <col min="8" max="8" width="8.42578125" style="148" customWidth="1"/>
    <col min="9" max="16384" width="9.140625" style="148"/>
  </cols>
  <sheetData>
    <row r="1" spans="1:10" ht="26.25">
      <c r="A1" s="929" t="s">
        <v>327</v>
      </c>
      <c r="B1" s="929"/>
      <c r="C1" s="929"/>
      <c r="D1" s="929"/>
      <c r="E1" s="929"/>
      <c r="F1" s="929"/>
      <c r="G1" s="929"/>
      <c r="H1" s="929"/>
      <c r="I1" s="929"/>
    </row>
    <row r="2" spans="1:10" ht="23.25">
      <c r="A2" s="916" t="s">
        <v>328</v>
      </c>
      <c r="B2" s="916"/>
      <c r="C2" s="916"/>
      <c r="D2" s="916"/>
      <c r="E2" s="916"/>
      <c r="F2" s="916"/>
      <c r="G2" s="916"/>
      <c r="H2" s="916"/>
      <c r="I2" s="916"/>
    </row>
    <row r="3" spans="1:10" ht="23.25">
      <c r="A3" s="350"/>
    </row>
    <row r="4" spans="1:10" ht="23.25">
      <c r="A4" s="350" t="s">
        <v>329</v>
      </c>
    </row>
    <row r="5" spans="1:10" ht="9.9499999999999993" customHeight="1">
      <c r="A5" s="350"/>
    </row>
    <row r="6" spans="1:10" s="517" customFormat="1" ht="23.25" customHeight="1">
      <c r="A6" s="931" t="s">
        <v>330</v>
      </c>
      <c r="B6" s="930" t="s">
        <v>183</v>
      </c>
      <c r="C6" s="930"/>
      <c r="D6" s="930" t="s">
        <v>184</v>
      </c>
      <c r="E6" s="930"/>
      <c r="F6" s="930" t="s">
        <v>185</v>
      </c>
      <c r="G6" s="930"/>
      <c r="H6" s="930" t="s">
        <v>3</v>
      </c>
      <c r="I6" s="930"/>
    </row>
    <row r="7" spans="1:10" s="517" customFormat="1" ht="23.25" customHeight="1">
      <c r="A7" s="931"/>
      <c r="B7" s="580" t="s">
        <v>1</v>
      </c>
      <c r="C7" s="580" t="s">
        <v>2</v>
      </c>
      <c r="D7" s="580" t="s">
        <v>1</v>
      </c>
      <c r="E7" s="580" t="s">
        <v>2</v>
      </c>
      <c r="F7" s="580" t="s">
        <v>1</v>
      </c>
      <c r="G7" s="580" t="s">
        <v>2</v>
      </c>
      <c r="H7" s="580" t="s">
        <v>1</v>
      </c>
      <c r="I7" s="580" t="s">
        <v>2</v>
      </c>
    </row>
    <row r="8" spans="1:10">
      <c r="A8" s="516" t="s">
        <v>331</v>
      </c>
      <c r="B8" s="575">
        <v>25</v>
      </c>
      <c r="C8" s="575"/>
      <c r="D8" s="575">
        <v>27</v>
      </c>
      <c r="E8" s="575"/>
      <c r="F8" s="575">
        <v>25</v>
      </c>
      <c r="G8" s="575"/>
      <c r="H8" s="516"/>
      <c r="I8" s="516">
        <f>SUM(B8:H8)</f>
        <v>77</v>
      </c>
    </row>
    <row r="9" spans="1:10" ht="23.25">
      <c r="A9" s="350"/>
    </row>
    <row r="10" spans="1:10" ht="23.25">
      <c r="A10" s="350" t="s">
        <v>332</v>
      </c>
    </row>
    <row r="11" spans="1:10" ht="9.9499999999999993" customHeight="1">
      <c r="A11" s="350"/>
    </row>
    <row r="12" spans="1:10" s="517" customFormat="1" ht="23.25" customHeight="1">
      <c r="A12" s="931" t="s">
        <v>330</v>
      </c>
      <c r="B12" s="930" t="s">
        <v>333</v>
      </c>
      <c r="C12" s="930"/>
      <c r="D12" s="930" t="s">
        <v>334</v>
      </c>
      <c r="E12" s="930"/>
      <c r="F12" s="930" t="s">
        <v>335</v>
      </c>
      <c r="G12" s="930"/>
      <c r="H12" s="930" t="s">
        <v>3</v>
      </c>
      <c r="I12" s="930"/>
    </row>
    <row r="13" spans="1:10" s="517" customFormat="1" ht="23.25" customHeight="1">
      <c r="A13" s="931"/>
      <c r="B13" s="580" t="s">
        <v>1</v>
      </c>
      <c r="C13" s="580" t="s">
        <v>2</v>
      </c>
      <c r="D13" s="580" t="s">
        <v>1</v>
      </c>
      <c r="E13" s="580" t="s">
        <v>2</v>
      </c>
      <c r="F13" s="580" t="s">
        <v>1</v>
      </c>
      <c r="G13" s="580" t="s">
        <v>2</v>
      </c>
      <c r="H13" s="580" t="s">
        <v>1</v>
      </c>
      <c r="I13" s="580" t="s">
        <v>2</v>
      </c>
    </row>
    <row r="14" spans="1:10">
      <c r="A14" s="516" t="s">
        <v>331</v>
      </c>
      <c r="B14" s="575">
        <v>26</v>
      </c>
      <c r="C14" s="575"/>
      <c r="D14" s="575">
        <v>23</v>
      </c>
      <c r="E14" s="575"/>
      <c r="F14" s="575">
        <v>23</v>
      </c>
      <c r="G14" s="575"/>
      <c r="H14" s="516"/>
      <c r="I14" s="516">
        <f>SUM(B14:H14)</f>
        <v>72</v>
      </c>
      <c r="J14" s="148">
        <f>I8+I14</f>
        <v>149</v>
      </c>
    </row>
    <row r="15" spans="1:10" ht="23.25">
      <c r="A15" s="350"/>
    </row>
    <row r="16" spans="1:10" s="153" customFormat="1">
      <c r="A16" s="153" t="s">
        <v>336</v>
      </c>
      <c r="B16" s="579"/>
      <c r="C16" s="579"/>
      <c r="D16" s="579"/>
      <c r="E16" s="579"/>
      <c r="F16" s="579"/>
      <c r="G16" s="579"/>
    </row>
    <row r="17" spans="1:8" ht="9.9499999999999993" customHeight="1"/>
    <row r="18" spans="1:8" s="153" customFormat="1">
      <c r="A18" s="890" t="s">
        <v>201</v>
      </c>
      <c r="B18" s="889" t="s">
        <v>319</v>
      </c>
      <c r="C18" s="889"/>
      <c r="D18" s="889"/>
      <c r="E18" s="889"/>
      <c r="F18" s="889"/>
      <c r="G18" s="889"/>
      <c r="H18" s="890" t="s">
        <v>3</v>
      </c>
    </row>
    <row r="19" spans="1:8" s="153" customFormat="1">
      <c r="A19" s="890"/>
      <c r="B19" s="571" t="s">
        <v>320</v>
      </c>
      <c r="C19" s="571" t="s">
        <v>321</v>
      </c>
      <c r="D19" s="571" t="s">
        <v>322</v>
      </c>
      <c r="E19" s="571" t="s">
        <v>323</v>
      </c>
      <c r="F19" s="571" t="s">
        <v>324</v>
      </c>
      <c r="G19" s="571" t="s">
        <v>325</v>
      </c>
      <c r="H19" s="890"/>
    </row>
    <row r="20" spans="1:8">
      <c r="A20" s="348" t="s">
        <v>200</v>
      </c>
      <c r="B20" s="576">
        <f>'ปกติ (2)'!C20</f>
        <v>515</v>
      </c>
      <c r="C20" s="576">
        <f>'ปกติ (2)'!D20</f>
        <v>534</v>
      </c>
      <c r="D20" s="576">
        <f>'ปกติ (2)'!E20</f>
        <v>623</v>
      </c>
      <c r="E20" s="576">
        <f>'ปกติ (2)'!F20</f>
        <v>516</v>
      </c>
      <c r="F20" s="586">
        <f>'ปกติ (2)'!G20+'กศ.ป. (2)'!G20</f>
        <v>0</v>
      </c>
      <c r="G20" s="586">
        <f>'ปกติ (2)'!H20+'กศ.ป. (2)'!H20+'กศ.ป. (2)'!I20</f>
        <v>0</v>
      </c>
      <c r="H20" s="582">
        <f t="shared" ref="H20:H26" si="0">SUM(B20:G20)</f>
        <v>2188</v>
      </c>
    </row>
    <row r="21" spans="1:8">
      <c r="A21" s="150" t="s">
        <v>326</v>
      </c>
      <c r="B21" s="588">
        <f>'ปกติ (2)'!C85+'กศ.ป. (2)'!C60</f>
        <v>650</v>
      </c>
      <c r="C21" s="588">
        <f>'ปกติ (2)'!D85+'กศ.ป. (2)'!D60</f>
        <v>626</v>
      </c>
      <c r="D21" s="588">
        <f>'ปกติ (2)'!E85+'กศ.ป. (2)'!E60</f>
        <v>523</v>
      </c>
      <c r="E21" s="588">
        <f>'ปกติ (2)'!F85+'กศ.ป. (2)'!F60</f>
        <v>116</v>
      </c>
      <c r="F21" s="588">
        <f>'ปกติ (2)'!G85+'กศ.ป. (2)'!G60</f>
        <v>0</v>
      </c>
      <c r="G21" s="588">
        <f>'ปกติ (2)'!H85+'กศ.ป. (2)'!H60+'กศ.ป. (2)'!I60</f>
        <v>0</v>
      </c>
      <c r="H21" s="583">
        <f t="shared" si="0"/>
        <v>1915</v>
      </c>
    </row>
    <row r="22" spans="1:8">
      <c r="A22" s="150" t="s">
        <v>197</v>
      </c>
      <c r="B22" s="588">
        <f>'ปกติ (2)'!C99+'กศ.ป. (2)'!C84</f>
        <v>951</v>
      </c>
      <c r="C22" s="588">
        <f>'ปกติ (2)'!D99+'กศ.ป. (2)'!D84</f>
        <v>707</v>
      </c>
      <c r="D22" s="588">
        <f>'ปกติ (2)'!E99+'กศ.ป. (2)'!E84</f>
        <v>558</v>
      </c>
      <c r="E22" s="588">
        <f>'ปกติ (2)'!F99+'กศ.ป. (2)'!F84</f>
        <v>83</v>
      </c>
      <c r="F22" s="588">
        <f>'ปกติ (2)'!G99+'กศ.ป. (2)'!G84</f>
        <v>0</v>
      </c>
      <c r="G22" s="588">
        <f>'ปกติ (2)'!H99+'กศ.ป. (2)'!H84+'กศ.ป. (2)'!I84</f>
        <v>0</v>
      </c>
      <c r="H22" s="583">
        <f t="shared" si="0"/>
        <v>2299</v>
      </c>
    </row>
    <row r="23" spans="1:8">
      <c r="A23" s="150" t="s">
        <v>199</v>
      </c>
      <c r="B23" s="577">
        <f>'ปกติ (2)'!C42</f>
        <v>374</v>
      </c>
      <c r="C23" s="588">
        <f>'ปกติ (2)'!D42+'กศ.ป. (2)'!D42</f>
        <v>423</v>
      </c>
      <c r="D23" s="588">
        <f>'ปกติ (2)'!E42+'กศ.ป. (2)'!E42</f>
        <v>375</v>
      </c>
      <c r="E23" s="588">
        <f>'ปกติ (2)'!F42+'กศ.ป. (2)'!F42</f>
        <v>50</v>
      </c>
      <c r="F23" s="577">
        <f>'ปกติ (2)'!G42</f>
        <v>0</v>
      </c>
      <c r="G23" s="577">
        <f>'ปกติ (2)'!H42</f>
        <v>0</v>
      </c>
      <c r="H23" s="583">
        <f t="shared" si="0"/>
        <v>1222</v>
      </c>
    </row>
    <row r="24" spans="1:8">
      <c r="A24" s="150" t="s">
        <v>17</v>
      </c>
      <c r="B24" s="577">
        <f>'ปกติ (2)'!C74</f>
        <v>113</v>
      </c>
      <c r="C24" s="577">
        <f>'ปกติ (2)'!D74</f>
        <v>243</v>
      </c>
      <c r="D24" s="577">
        <f>'ปกติ (2)'!E74</f>
        <v>166</v>
      </c>
      <c r="E24" s="588">
        <f>'ปกติ (2)'!F74+'กศ.ป. (2)'!F46</f>
        <v>33</v>
      </c>
      <c r="F24" s="577">
        <f>'ปกติ (2)'!G74</f>
        <v>0</v>
      </c>
      <c r="G24" s="577">
        <f>'ปกติ (2)'!H74</f>
        <v>0</v>
      </c>
      <c r="H24" s="583">
        <f t="shared" si="0"/>
        <v>555</v>
      </c>
    </row>
    <row r="25" spans="1:8">
      <c r="A25" s="578" t="s">
        <v>198</v>
      </c>
      <c r="B25" s="587">
        <f>'ปกติ (2)'!C50+'กศ.ป. (2)'!C38</f>
        <v>274</v>
      </c>
      <c r="C25" s="587">
        <f>'ปกติ (2)'!D50+'กศ.ป. (2)'!D38</f>
        <v>207</v>
      </c>
      <c r="D25" s="587">
        <f>'ปกติ (2)'!E50+'กศ.ป. (2)'!E38</f>
        <v>207</v>
      </c>
      <c r="E25" s="587">
        <f>'ปกติ (2)'!F50+'กศ.ป. (2)'!F38</f>
        <v>51</v>
      </c>
      <c r="F25" s="587">
        <f>('ปกติ (2)'!G50-3)+'กศ.ป. (2)'!G38</f>
        <v>-3</v>
      </c>
      <c r="G25" s="587">
        <f>'ปกติ (2)'!H50+'กศ.ป. (2)'!H38</f>
        <v>0</v>
      </c>
      <c r="H25" s="584">
        <f t="shared" si="0"/>
        <v>736</v>
      </c>
    </row>
    <row r="26" spans="1:8">
      <c r="A26" s="571" t="s">
        <v>3</v>
      </c>
      <c r="B26" s="581">
        <f t="shared" ref="B26:G26" si="1">SUM(B20:B25)</f>
        <v>2877</v>
      </c>
      <c r="C26" s="581">
        <f t="shared" si="1"/>
        <v>2740</v>
      </c>
      <c r="D26" s="581">
        <f t="shared" si="1"/>
        <v>2452</v>
      </c>
      <c r="E26" s="581">
        <f t="shared" si="1"/>
        <v>849</v>
      </c>
      <c r="F26" s="581">
        <f t="shared" si="1"/>
        <v>-3</v>
      </c>
      <c r="G26" s="581">
        <f t="shared" si="1"/>
        <v>0</v>
      </c>
      <c r="H26" s="585">
        <f t="shared" si="0"/>
        <v>8915</v>
      </c>
    </row>
    <row r="28" spans="1:8" s="153" customFormat="1">
      <c r="A28" s="153" t="s">
        <v>338</v>
      </c>
      <c r="B28" s="579"/>
      <c r="C28" s="579"/>
      <c r="D28" s="579"/>
      <c r="E28" s="579"/>
      <c r="F28" s="579"/>
      <c r="G28" s="579"/>
    </row>
    <row r="29" spans="1:8" ht="9.9499999999999993" customHeight="1"/>
    <row r="30" spans="1:8" s="153" customFormat="1">
      <c r="A30" s="890" t="s">
        <v>201</v>
      </c>
      <c r="B30" s="889" t="s">
        <v>319</v>
      </c>
      <c r="C30" s="889"/>
      <c r="D30" s="889"/>
      <c r="E30" s="889"/>
      <c r="F30" s="889"/>
      <c r="G30" s="889"/>
      <c r="H30" s="890" t="s">
        <v>3</v>
      </c>
    </row>
    <row r="31" spans="1:8" s="153" customFormat="1">
      <c r="A31" s="890"/>
      <c r="B31" s="571" t="s">
        <v>320</v>
      </c>
      <c r="C31" s="571" t="s">
        <v>321</v>
      </c>
      <c r="D31" s="571" t="s">
        <v>322</v>
      </c>
      <c r="E31" s="571" t="s">
        <v>323</v>
      </c>
      <c r="F31" s="571" t="s">
        <v>324</v>
      </c>
      <c r="G31" s="571" t="s">
        <v>325</v>
      </c>
      <c r="H31" s="890"/>
    </row>
    <row r="32" spans="1:8">
      <c r="A32" s="348" t="s">
        <v>200</v>
      </c>
      <c r="B32" s="589">
        <f>'ปกติ (2)'!C29+บัณฑิตศึกษา!C13+บัณฑิตศึกษา!C19+บัณฑิตศึกษา!C40</f>
        <v>171</v>
      </c>
      <c r="C32" s="589">
        <f>'ปกติ (2)'!D29+บัณฑิตศึกษา!D13+บัณฑิตศึกษา!D19+บัณฑิตศึกษา!D40</f>
        <v>143</v>
      </c>
      <c r="D32" s="589">
        <f>'ปกติ (2)'!E29+บัณฑิตศึกษา!E13+บัณฑิตศึกษา!E19</f>
        <v>86</v>
      </c>
      <c r="E32" s="589">
        <f>'ปกติ (2)'!F29+บัณฑิตศึกษา!F13+บัณฑิตศึกษา!F19</f>
        <v>89</v>
      </c>
      <c r="F32" s="589">
        <f>'ปกติ (2)'!G29+บัณฑิตศึกษา!G13+บัณฑิตศึกษา!G19</f>
        <v>8</v>
      </c>
      <c r="G32" s="589">
        <f>'ปกติ (2)'!H29+บัณฑิตศึกษา!H13+บัณฑิตศึกษา!H19</f>
        <v>0</v>
      </c>
      <c r="H32" s="582">
        <f t="shared" ref="H32:H38" si="2">SUM(B32:G32)</f>
        <v>497</v>
      </c>
    </row>
    <row r="33" spans="1:8">
      <c r="A33" s="150" t="s">
        <v>326</v>
      </c>
      <c r="B33" s="590">
        <f>0+บัณฑิตศึกษา!C28</f>
        <v>0</v>
      </c>
      <c r="C33" s="590">
        <f>0+บัณฑิตศึกษา!D28</f>
        <v>0</v>
      </c>
      <c r="D33" s="590">
        <f>0+บัณฑิตศึกษา!E28</f>
        <v>7</v>
      </c>
      <c r="E33" s="590">
        <f>0+บัณฑิตศึกษา!F28</f>
        <v>7</v>
      </c>
      <c r="F33" s="590">
        <f>0+บัณฑิตศึกษา!G28</f>
        <v>0</v>
      </c>
      <c r="G33" s="590">
        <f>0+บัณฑิตศึกษา!H28</f>
        <v>0</v>
      </c>
      <c r="H33" s="583">
        <f t="shared" si="2"/>
        <v>14</v>
      </c>
    </row>
    <row r="34" spans="1:8">
      <c r="A34" s="150" t="s">
        <v>197</v>
      </c>
      <c r="B34" s="590">
        <f>0+บัณฑิตศึกษา!C36</f>
        <v>33</v>
      </c>
      <c r="C34" s="590">
        <f>0+บัณฑิตศึกษา!D36</f>
        <v>28</v>
      </c>
      <c r="D34" s="590">
        <f>0+บัณฑิตศึกษา!E36</f>
        <v>21</v>
      </c>
      <c r="E34" s="590">
        <f>0+บัณฑิตศึกษา!F36</f>
        <v>12</v>
      </c>
      <c r="F34" s="590">
        <f>0+บัณฑิตศึกษา!G36</f>
        <v>0</v>
      </c>
      <c r="G34" s="590">
        <f>0+บัณฑิตศึกษา!H36</f>
        <v>0</v>
      </c>
      <c r="H34" s="583">
        <f t="shared" si="2"/>
        <v>94</v>
      </c>
    </row>
    <row r="35" spans="1:8">
      <c r="A35" s="150" t="s">
        <v>199</v>
      </c>
      <c r="B35" s="590">
        <f>'ปกติ (2)'!C46+'ปกติ (2)'!C49+บัณฑิตศึกษา!C24</f>
        <v>14</v>
      </c>
      <c r="C35" s="590">
        <f>'ปกติ (2)'!D46+'ปกติ (2)'!D49+บัณฑิตศึกษา!D24</f>
        <v>28</v>
      </c>
      <c r="D35" s="590">
        <f>'ปกติ (2)'!E46+'ปกติ (2)'!E49+บัณฑิตศึกษา!E24</f>
        <v>25</v>
      </c>
      <c r="E35" s="590">
        <f>'ปกติ (2)'!F46+'ปกติ (2)'!F49+บัณฑิตศึกษา!F24</f>
        <v>20</v>
      </c>
      <c r="F35" s="590">
        <f>'ปกติ (2)'!G46+'ปกติ (2)'!G49+บัณฑิตศึกษา!G24</f>
        <v>2</v>
      </c>
      <c r="G35" s="590">
        <f>'ปกติ (2)'!H46+'ปกติ (2)'!H49</f>
        <v>0</v>
      </c>
      <c r="H35" s="583">
        <f t="shared" si="2"/>
        <v>89</v>
      </c>
    </row>
    <row r="36" spans="1:8">
      <c r="A36" s="349" t="s">
        <v>17</v>
      </c>
      <c r="B36" s="591">
        <v>0</v>
      </c>
      <c r="C36" s="591">
        <v>0</v>
      </c>
      <c r="D36" s="591">
        <v>0</v>
      </c>
      <c r="E36" s="591">
        <v>0</v>
      </c>
      <c r="F36" s="591">
        <v>0</v>
      </c>
      <c r="G36" s="591">
        <v>0</v>
      </c>
      <c r="H36" s="583">
        <f t="shared" si="2"/>
        <v>0</v>
      </c>
    </row>
    <row r="37" spans="1:8">
      <c r="A37" s="578" t="s">
        <v>198</v>
      </c>
      <c r="B37" s="592">
        <v>0</v>
      </c>
      <c r="C37" s="592">
        <v>0</v>
      </c>
      <c r="D37" s="592">
        <v>0</v>
      </c>
      <c r="E37" s="592">
        <v>0</v>
      </c>
      <c r="F37" s="592">
        <f>'ปกติ (2)'!G73+บัณฑิตศึกษา!G32</f>
        <v>0</v>
      </c>
      <c r="G37" s="592">
        <v>0</v>
      </c>
      <c r="H37" s="584">
        <f t="shared" si="2"/>
        <v>0</v>
      </c>
    </row>
    <row r="38" spans="1:8">
      <c r="A38" s="571" t="s">
        <v>3</v>
      </c>
      <c r="B38" s="581">
        <f t="shared" ref="B38:G38" si="3">SUM(B32:B37)</f>
        <v>218</v>
      </c>
      <c r="C38" s="581">
        <f t="shared" si="3"/>
        <v>199</v>
      </c>
      <c r="D38" s="581">
        <f t="shared" si="3"/>
        <v>139</v>
      </c>
      <c r="E38" s="581">
        <f t="shared" si="3"/>
        <v>128</v>
      </c>
      <c r="F38" s="581">
        <f t="shared" si="3"/>
        <v>10</v>
      </c>
      <c r="G38" s="581">
        <f t="shared" si="3"/>
        <v>0</v>
      </c>
      <c r="H38" s="585">
        <f t="shared" si="2"/>
        <v>694</v>
      </c>
    </row>
    <row r="40" spans="1:8">
      <c r="A40" s="593" t="s">
        <v>337</v>
      </c>
    </row>
  </sheetData>
  <mergeCells count="18">
    <mergeCell ref="A1:I1"/>
    <mergeCell ref="A2:I2"/>
    <mergeCell ref="D12:E12"/>
    <mergeCell ref="F12:G12"/>
    <mergeCell ref="H12:I12"/>
    <mergeCell ref="B6:C6"/>
    <mergeCell ref="D6:E6"/>
    <mergeCell ref="F6:G6"/>
    <mergeCell ref="H6:I6"/>
    <mergeCell ref="A6:A7"/>
    <mergeCell ref="A12:A13"/>
    <mergeCell ref="B12:C12"/>
    <mergeCell ref="A30:A31"/>
    <mergeCell ref="B30:G30"/>
    <mergeCell ref="H30:H31"/>
    <mergeCell ref="B18:G18"/>
    <mergeCell ref="A18:A19"/>
    <mergeCell ref="H18:H19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4"/>
  <sheetViews>
    <sheetView view="pageBreakPreview" zoomScale="130" zoomScaleSheetLayoutView="130" workbookViewId="0">
      <pane ySplit="4" topLeftCell="A132" activePane="bottomLeft" state="frozen"/>
      <selection pane="bottomLeft" activeCell="L32" sqref="L32"/>
    </sheetView>
  </sheetViews>
  <sheetFormatPr defaultRowHeight="21" customHeight="1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1" width="10.85546875" style="112" hidden="1" customWidth="1"/>
    <col min="12" max="12" width="28.140625" style="179" customWidth="1"/>
    <col min="13" max="20" width="10.85546875" style="112" customWidth="1"/>
    <col min="21" max="16384" width="9.140625" style="93"/>
  </cols>
  <sheetData>
    <row r="1" spans="1:25" ht="21" customHeight="1">
      <c r="A1" s="787" t="s">
        <v>281</v>
      </c>
      <c r="B1" s="787"/>
      <c r="C1" s="787"/>
      <c r="D1" s="787"/>
      <c r="E1" s="787"/>
      <c r="F1" s="787"/>
      <c r="G1" s="787"/>
      <c r="H1" s="341"/>
      <c r="I1" s="341"/>
      <c r="J1" s="341"/>
      <c r="K1" s="341"/>
      <c r="L1" s="171"/>
      <c r="M1" s="341"/>
      <c r="N1" s="341"/>
      <c r="O1" s="341"/>
      <c r="P1" s="341"/>
      <c r="Q1" s="341"/>
      <c r="R1" s="341"/>
      <c r="S1" s="341"/>
      <c r="T1" s="341"/>
    </row>
    <row r="2" spans="1:25" ht="21" customHeight="1">
      <c r="A2" s="794"/>
      <c r="B2" s="794"/>
      <c r="C2" s="794"/>
      <c r="D2" s="794"/>
      <c r="E2" s="794"/>
      <c r="F2" s="794"/>
      <c r="G2" s="794"/>
      <c r="H2" s="338"/>
      <c r="I2" s="338"/>
      <c r="J2" s="338"/>
      <c r="K2" s="338"/>
      <c r="L2" s="793" t="s">
        <v>280</v>
      </c>
      <c r="M2" s="793"/>
      <c r="N2" s="793"/>
      <c r="O2" s="793"/>
      <c r="P2" s="793"/>
      <c r="Q2" s="793"/>
      <c r="R2" s="793"/>
      <c r="S2" s="338"/>
      <c r="T2" s="338"/>
    </row>
    <row r="3" spans="1:25" ht="21" customHeight="1">
      <c r="A3" s="788" t="s">
        <v>0</v>
      </c>
      <c r="B3" s="795" t="s">
        <v>131</v>
      </c>
      <c r="C3" s="796"/>
      <c r="D3" s="796"/>
      <c r="E3" s="796"/>
      <c r="F3" s="796"/>
      <c r="G3" s="797"/>
      <c r="H3" s="341"/>
      <c r="I3" s="341"/>
      <c r="J3" s="341"/>
      <c r="K3" s="341"/>
      <c r="L3" s="171"/>
      <c r="M3" s="341"/>
      <c r="N3" s="341"/>
      <c r="O3" s="341"/>
      <c r="P3" s="341"/>
      <c r="Q3" s="341"/>
      <c r="R3" s="341"/>
      <c r="S3" s="341"/>
      <c r="T3" s="341"/>
    </row>
    <row r="4" spans="1:25" ht="21" customHeight="1">
      <c r="A4" s="789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790" t="s">
        <v>201</v>
      </c>
      <c r="M4" s="792" t="s">
        <v>202</v>
      </c>
      <c r="N4" s="792"/>
      <c r="O4" s="792"/>
      <c r="P4" s="792"/>
      <c r="Q4" s="792"/>
      <c r="R4" s="785" t="s">
        <v>3</v>
      </c>
      <c r="S4" s="157"/>
      <c r="T4" s="157"/>
    </row>
    <row r="5" spans="1:25" ht="21" customHeight="1">
      <c r="A5" s="94" t="s">
        <v>5</v>
      </c>
      <c r="B5" s="113">
        <f t="shared" ref="B5:G5" si="0">SUM(B20,B23,B29)</f>
        <v>0</v>
      </c>
      <c r="C5" s="113">
        <f t="shared" si="0"/>
        <v>632</v>
      </c>
      <c r="D5" s="113">
        <f t="shared" si="0"/>
        <v>526</v>
      </c>
      <c r="E5" s="113">
        <f t="shared" si="0"/>
        <v>1172</v>
      </c>
      <c r="F5" s="113">
        <f t="shared" si="0"/>
        <v>893</v>
      </c>
      <c r="G5" s="113">
        <f t="shared" si="0"/>
        <v>3223</v>
      </c>
      <c r="H5" s="158"/>
      <c r="I5" s="158"/>
      <c r="J5" s="158"/>
      <c r="K5" s="158"/>
      <c r="L5" s="791"/>
      <c r="M5" s="172" t="s">
        <v>203</v>
      </c>
      <c r="N5" s="339" t="s">
        <v>204</v>
      </c>
      <c r="O5" s="339" t="s">
        <v>205</v>
      </c>
      <c r="P5" s="339" t="s">
        <v>51</v>
      </c>
      <c r="Q5" s="339" t="s">
        <v>134</v>
      </c>
      <c r="R5" s="786"/>
      <c r="S5" s="158"/>
      <c r="T5" s="158"/>
      <c r="W5" s="117">
        <f>G5</f>
        <v>3223</v>
      </c>
    </row>
    <row r="6" spans="1:25" ht="21" customHeight="1">
      <c r="A6" s="247" t="s">
        <v>136</v>
      </c>
      <c r="B6" s="247"/>
      <c r="C6" s="248">
        <v>55</v>
      </c>
      <c r="D6" s="249">
        <v>55</v>
      </c>
      <c r="E6" s="249">
        <v>117</v>
      </c>
      <c r="F6" s="249">
        <v>119</v>
      </c>
      <c r="G6" s="249">
        <f t="shared" ref="G6:G19" si="1">SUM(B6:F6)</f>
        <v>346</v>
      </c>
      <c r="H6" s="159"/>
      <c r="I6" s="159"/>
      <c r="J6" s="161">
        <f t="shared" ref="J6:J19" si="2">SUM(C6:F6)</f>
        <v>346</v>
      </c>
      <c r="K6" s="159"/>
      <c r="L6" s="173" t="s">
        <v>200</v>
      </c>
      <c r="M6" s="174"/>
      <c r="N6" s="174"/>
      <c r="O6" s="174">
        <f>G20</f>
        <v>3193</v>
      </c>
      <c r="P6" s="174"/>
      <c r="Q6" s="174">
        <f>G29</f>
        <v>30</v>
      </c>
      <c r="R6" s="174">
        <f t="shared" ref="R6:R14" si="3">SUM(M6:Q6)</f>
        <v>3223</v>
      </c>
      <c r="S6" s="159"/>
      <c r="T6" s="159"/>
      <c r="U6" s="169">
        <v>58</v>
      </c>
      <c r="V6" s="117">
        <v>122</v>
      </c>
      <c r="W6" s="117">
        <v>117</v>
      </c>
      <c r="X6" s="117">
        <v>114</v>
      </c>
      <c r="Y6" s="117">
        <v>84</v>
      </c>
    </row>
    <row r="7" spans="1:25" ht="21" customHeight="1">
      <c r="A7" s="250" t="s">
        <v>6</v>
      </c>
      <c r="B7" s="250"/>
      <c r="C7" s="251">
        <v>48</v>
      </c>
      <c r="D7" s="252">
        <v>52</v>
      </c>
      <c r="E7" s="252">
        <v>120</v>
      </c>
      <c r="F7" s="252">
        <v>102</v>
      </c>
      <c r="G7" s="252">
        <f t="shared" si="1"/>
        <v>322</v>
      </c>
      <c r="H7" s="159"/>
      <c r="I7" s="159"/>
      <c r="J7" s="161">
        <f t="shared" si="2"/>
        <v>322</v>
      </c>
      <c r="K7" s="159"/>
      <c r="L7" s="173" t="s">
        <v>206</v>
      </c>
      <c r="M7" s="174"/>
      <c r="N7" s="174">
        <f>G111</f>
        <v>1192</v>
      </c>
      <c r="O7" s="174"/>
      <c r="P7" s="174"/>
      <c r="Q7" s="174"/>
      <c r="R7" s="174">
        <f t="shared" si="3"/>
        <v>1192</v>
      </c>
      <c r="S7" s="159"/>
      <c r="T7" s="159"/>
      <c r="U7" s="169">
        <v>57</v>
      </c>
      <c r="V7" s="117">
        <v>128</v>
      </c>
      <c r="W7" s="117">
        <v>101</v>
      </c>
      <c r="X7" s="117">
        <v>51</v>
      </c>
      <c r="Y7" s="117">
        <v>30</v>
      </c>
    </row>
    <row r="8" spans="1:25" ht="21" customHeight="1">
      <c r="A8" s="250" t="s">
        <v>7</v>
      </c>
      <c r="B8" s="250"/>
      <c r="C8" s="251">
        <v>59</v>
      </c>
      <c r="D8" s="252">
        <v>50</v>
      </c>
      <c r="E8" s="252">
        <v>113</v>
      </c>
      <c r="F8" s="252">
        <v>116</v>
      </c>
      <c r="G8" s="252">
        <f t="shared" si="1"/>
        <v>338</v>
      </c>
      <c r="H8" s="159"/>
      <c r="I8" s="159"/>
      <c r="J8" s="161">
        <f t="shared" si="2"/>
        <v>338</v>
      </c>
      <c r="K8" s="159"/>
      <c r="L8" s="173" t="s">
        <v>197</v>
      </c>
      <c r="M8" s="174">
        <f>G130</f>
        <v>203</v>
      </c>
      <c r="N8" s="174">
        <f>G124</f>
        <v>1470</v>
      </c>
      <c r="O8" s="174"/>
      <c r="P8" s="174">
        <f>G134</f>
        <v>2</v>
      </c>
      <c r="Q8" s="174"/>
      <c r="R8" s="174">
        <f t="shared" si="3"/>
        <v>1675</v>
      </c>
      <c r="S8" s="159"/>
      <c r="T8" s="159"/>
      <c r="U8" s="169">
        <v>58</v>
      </c>
      <c r="V8" s="117">
        <v>116</v>
      </c>
      <c r="W8" s="117">
        <v>111</v>
      </c>
      <c r="X8" s="117">
        <v>99</v>
      </c>
      <c r="Y8" s="117">
        <v>41</v>
      </c>
    </row>
    <row r="9" spans="1:25" ht="21" customHeight="1">
      <c r="A9" s="250" t="s">
        <v>135</v>
      </c>
      <c r="B9" s="250"/>
      <c r="C9" s="251">
        <v>49</v>
      </c>
      <c r="D9" s="252">
        <v>38</v>
      </c>
      <c r="E9" s="252">
        <f>59+61</f>
        <v>120</v>
      </c>
      <c r="F9" s="252">
        <v>96</v>
      </c>
      <c r="G9" s="252">
        <f t="shared" si="1"/>
        <v>303</v>
      </c>
      <c r="H9" s="159"/>
      <c r="I9" s="159"/>
      <c r="J9" s="161">
        <f t="shared" si="2"/>
        <v>303</v>
      </c>
      <c r="K9" s="159"/>
      <c r="L9" s="106" t="s">
        <v>3</v>
      </c>
      <c r="M9" s="106">
        <f>SUM(M6:M8)</f>
        <v>203</v>
      </c>
      <c r="N9" s="106">
        <f>SUM(N6:N8)</f>
        <v>2662</v>
      </c>
      <c r="O9" s="106">
        <f>SUM(O6:O8)</f>
        <v>3193</v>
      </c>
      <c r="P9" s="106">
        <f>SUM(P6:P8)</f>
        <v>2</v>
      </c>
      <c r="Q9" s="106">
        <f>SUM(Q6:Q8)</f>
        <v>30</v>
      </c>
      <c r="R9" s="106">
        <f t="shared" si="3"/>
        <v>6090</v>
      </c>
      <c r="S9" s="159"/>
      <c r="T9" s="159"/>
      <c r="U9" s="169">
        <v>52</v>
      </c>
      <c r="V9" s="117">
        <v>123</v>
      </c>
      <c r="W9" s="117">
        <v>94</v>
      </c>
      <c r="X9" s="117">
        <v>98</v>
      </c>
      <c r="Y9" s="117">
        <v>82</v>
      </c>
    </row>
    <row r="10" spans="1:25" ht="21" customHeight="1">
      <c r="A10" s="250" t="s">
        <v>8</v>
      </c>
      <c r="B10" s="250"/>
      <c r="C10" s="251">
        <v>54</v>
      </c>
      <c r="D10" s="252">
        <v>46</v>
      </c>
      <c r="E10" s="252">
        <v>115</v>
      </c>
      <c r="F10" s="252">
        <v>117</v>
      </c>
      <c r="G10" s="252">
        <f t="shared" si="1"/>
        <v>332</v>
      </c>
      <c r="H10" s="159"/>
      <c r="I10" s="159"/>
      <c r="J10" s="161">
        <f t="shared" si="2"/>
        <v>332</v>
      </c>
      <c r="K10" s="159"/>
      <c r="L10" s="173" t="s">
        <v>199</v>
      </c>
      <c r="M10" s="174"/>
      <c r="N10" s="174">
        <f>G42</f>
        <v>1093</v>
      </c>
      <c r="O10" s="174"/>
      <c r="P10" s="174">
        <f>G47</f>
        <v>8</v>
      </c>
      <c r="Q10" s="174">
        <f>G50</f>
        <v>3</v>
      </c>
      <c r="R10" s="174">
        <f t="shared" si="3"/>
        <v>1104</v>
      </c>
      <c r="S10" s="159"/>
      <c r="T10" s="159"/>
      <c r="U10" s="169">
        <v>59</v>
      </c>
      <c r="V10" s="117">
        <v>120</v>
      </c>
      <c r="W10" s="117">
        <v>116</v>
      </c>
      <c r="X10" s="117">
        <v>88</v>
      </c>
      <c r="Y10" s="117">
        <v>34</v>
      </c>
    </row>
    <row r="11" spans="1:25" ht="21" customHeight="1">
      <c r="A11" s="250" t="s">
        <v>9</v>
      </c>
      <c r="B11" s="250"/>
      <c r="C11" s="251">
        <v>43</v>
      </c>
      <c r="D11" s="252">
        <v>40</v>
      </c>
      <c r="E11" s="252">
        <v>114</v>
      </c>
      <c r="F11" s="252">
        <v>102</v>
      </c>
      <c r="G11" s="252">
        <f t="shared" si="1"/>
        <v>299</v>
      </c>
      <c r="H11" s="159"/>
      <c r="I11" s="159"/>
      <c r="J11" s="161">
        <f t="shared" si="2"/>
        <v>299</v>
      </c>
      <c r="K11" s="159"/>
      <c r="L11" s="173" t="s">
        <v>17</v>
      </c>
      <c r="M11" s="174"/>
      <c r="N11" s="174">
        <f>G78</f>
        <v>525</v>
      </c>
      <c r="O11" s="174"/>
      <c r="P11" s="174"/>
      <c r="Q11" s="174"/>
      <c r="R11" s="174">
        <f t="shared" si="3"/>
        <v>525</v>
      </c>
      <c r="S11" s="159"/>
      <c r="T11" s="159"/>
      <c r="U11" s="169">
        <v>51</v>
      </c>
      <c r="V11" s="117">
        <v>116</v>
      </c>
      <c r="W11" s="117">
        <v>102</v>
      </c>
      <c r="X11" s="117">
        <v>65</v>
      </c>
      <c r="Y11" s="117">
        <v>54</v>
      </c>
    </row>
    <row r="12" spans="1:25" ht="21" customHeight="1">
      <c r="A12" s="336" t="s">
        <v>238</v>
      </c>
      <c r="B12" s="250"/>
      <c r="C12" s="251">
        <v>44</v>
      </c>
      <c r="D12" s="252">
        <v>53</v>
      </c>
      <c r="E12" s="252">
        <v>41</v>
      </c>
      <c r="F12" s="252">
        <v>1</v>
      </c>
      <c r="G12" s="252">
        <f t="shared" si="1"/>
        <v>139</v>
      </c>
      <c r="H12" s="159"/>
      <c r="I12" s="159"/>
      <c r="J12" s="161">
        <f t="shared" si="2"/>
        <v>139</v>
      </c>
      <c r="K12" s="159"/>
      <c r="L12" s="173" t="s">
        <v>198</v>
      </c>
      <c r="M12" s="174">
        <f>G73</f>
        <v>111</v>
      </c>
      <c r="N12" s="174">
        <f>G62</f>
        <v>592</v>
      </c>
      <c r="O12" s="174"/>
      <c r="P12" s="174">
        <f>G77</f>
        <v>3</v>
      </c>
      <c r="Q12" s="174"/>
      <c r="R12" s="174">
        <f t="shared" si="3"/>
        <v>706</v>
      </c>
      <c r="S12" s="159"/>
      <c r="T12" s="159"/>
      <c r="U12" s="169">
        <v>57</v>
      </c>
      <c r="V12" s="117">
        <v>43</v>
      </c>
      <c r="W12" s="117"/>
      <c r="X12" s="117">
        <v>18</v>
      </c>
      <c r="Y12" s="117">
        <v>1</v>
      </c>
    </row>
    <row r="13" spans="1:25" ht="21" customHeight="1">
      <c r="A13" s="250" t="s">
        <v>56</v>
      </c>
      <c r="B13" s="250"/>
      <c r="C13" s="251">
        <v>47</v>
      </c>
      <c r="D13" s="252">
        <v>41</v>
      </c>
      <c r="E13" s="252">
        <f>54+50</f>
        <v>104</v>
      </c>
      <c r="F13" s="252">
        <v>114</v>
      </c>
      <c r="G13" s="252">
        <f t="shared" si="1"/>
        <v>306</v>
      </c>
      <c r="H13" s="159"/>
      <c r="I13" s="159"/>
      <c r="J13" s="161">
        <f t="shared" si="2"/>
        <v>306</v>
      </c>
      <c r="K13" s="159"/>
      <c r="L13" s="182" t="s">
        <v>3</v>
      </c>
      <c r="M13" s="106">
        <f>SUM(M10:M12)</f>
        <v>111</v>
      </c>
      <c r="N13" s="106">
        <f>SUM(N10:N12)</f>
        <v>2210</v>
      </c>
      <c r="O13" s="106">
        <f>SUM(O10:O12)</f>
        <v>0</v>
      </c>
      <c r="P13" s="106">
        <f>SUM(P10:P12)</f>
        <v>11</v>
      </c>
      <c r="Q13" s="106">
        <f>SUM(Q10:Q12)</f>
        <v>3</v>
      </c>
      <c r="R13" s="174">
        <f t="shared" si="3"/>
        <v>2335</v>
      </c>
      <c r="S13" s="159"/>
      <c r="T13" s="159"/>
      <c r="U13" s="169">
        <v>54</v>
      </c>
      <c r="V13" s="117">
        <v>105</v>
      </c>
      <c r="W13" s="117">
        <v>108</v>
      </c>
      <c r="X13" s="117">
        <v>100</v>
      </c>
      <c r="Y13" s="117">
        <v>64</v>
      </c>
    </row>
    <row r="14" spans="1:25" ht="21" customHeight="1">
      <c r="A14" s="250" t="s">
        <v>96</v>
      </c>
      <c r="B14" s="250"/>
      <c r="C14" s="251">
        <v>45</v>
      </c>
      <c r="D14" s="252">
        <v>40</v>
      </c>
      <c r="E14" s="252">
        <v>54</v>
      </c>
      <c r="F14" s="252">
        <v>106</v>
      </c>
      <c r="G14" s="252">
        <f t="shared" si="1"/>
        <v>245</v>
      </c>
      <c r="H14" s="159"/>
      <c r="I14" s="159"/>
      <c r="J14" s="161">
        <f t="shared" si="2"/>
        <v>245</v>
      </c>
      <c r="K14" s="159"/>
      <c r="L14" s="182" t="s">
        <v>59</v>
      </c>
      <c r="M14" s="106">
        <f>SUM(M9,M13)</f>
        <v>314</v>
      </c>
      <c r="N14" s="106">
        <f>SUM(N9,N13)</f>
        <v>4872</v>
      </c>
      <c r="O14" s="106">
        <f>SUM(O9,O13)</f>
        <v>3193</v>
      </c>
      <c r="P14" s="106">
        <f>SUM(P9,P13)</f>
        <v>13</v>
      </c>
      <c r="Q14" s="106">
        <f>SUM(Q9,Q13)</f>
        <v>33</v>
      </c>
      <c r="R14" s="106">
        <f t="shared" si="3"/>
        <v>8425</v>
      </c>
      <c r="S14" s="159"/>
      <c r="T14" s="159"/>
      <c r="U14" s="169">
        <v>45</v>
      </c>
      <c r="V14" s="117">
        <v>58</v>
      </c>
      <c r="W14" s="117">
        <v>110</v>
      </c>
      <c r="X14" s="117"/>
      <c r="Y14" s="117"/>
    </row>
    <row r="15" spans="1:25" ht="21" customHeight="1">
      <c r="A15" s="250" t="s">
        <v>119</v>
      </c>
      <c r="B15" s="250"/>
      <c r="C15" s="251">
        <v>39</v>
      </c>
      <c r="D15" s="252">
        <v>43</v>
      </c>
      <c r="E15" s="252">
        <v>93</v>
      </c>
      <c r="F15" s="252"/>
      <c r="G15" s="252">
        <f t="shared" si="1"/>
        <v>175</v>
      </c>
      <c r="H15" s="159"/>
      <c r="I15" s="159"/>
      <c r="J15" s="161">
        <f t="shared" si="2"/>
        <v>175</v>
      </c>
      <c r="K15" s="159"/>
      <c r="L15" s="175"/>
      <c r="M15" s="159"/>
      <c r="N15" s="159"/>
      <c r="O15" s="159"/>
      <c r="P15" s="159"/>
      <c r="Q15" s="159"/>
      <c r="R15" s="159"/>
      <c r="S15" s="159">
        <f>M14+N14+O14</f>
        <v>8379</v>
      </c>
      <c r="T15" s="159"/>
      <c r="U15" s="169">
        <v>48</v>
      </c>
      <c r="V15" s="117">
        <v>99</v>
      </c>
      <c r="W15" s="117"/>
      <c r="X15" s="117"/>
      <c r="Y15" s="117"/>
    </row>
    <row r="16" spans="1:25" ht="21" customHeight="1">
      <c r="A16" s="250" t="s">
        <v>12</v>
      </c>
      <c r="B16" s="250"/>
      <c r="C16" s="251">
        <v>26</v>
      </c>
      <c r="D16" s="252"/>
      <c r="E16" s="252">
        <v>48</v>
      </c>
      <c r="F16" s="252"/>
      <c r="G16" s="252">
        <f t="shared" si="1"/>
        <v>74</v>
      </c>
      <c r="H16" s="159"/>
      <c r="I16" s="159"/>
      <c r="J16" s="161">
        <f t="shared" si="2"/>
        <v>74</v>
      </c>
      <c r="K16" s="159"/>
      <c r="L16" s="793" t="s">
        <v>276</v>
      </c>
      <c r="M16" s="793"/>
      <c r="N16" s="793"/>
      <c r="O16" s="793"/>
      <c r="P16" s="793"/>
      <c r="Q16" s="793"/>
      <c r="R16" s="793"/>
      <c r="S16" s="159"/>
      <c r="T16" s="159"/>
      <c r="U16" s="169"/>
      <c r="V16" s="117">
        <v>50</v>
      </c>
      <c r="W16" s="117"/>
      <c r="X16" s="117"/>
      <c r="Y16" s="117"/>
    </row>
    <row r="17" spans="1:26" ht="21" customHeight="1">
      <c r="A17" s="250" t="s">
        <v>13</v>
      </c>
      <c r="B17" s="250"/>
      <c r="C17" s="251">
        <v>39</v>
      </c>
      <c r="D17" s="252"/>
      <c r="E17" s="252">
        <v>46</v>
      </c>
      <c r="F17" s="252"/>
      <c r="G17" s="252">
        <f t="shared" si="1"/>
        <v>85</v>
      </c>
      <c r="H17" s="159"/>
      <c r="I17" s="159"/>
      <c r="J17" s="161">
        <f t="shared" si="2"/>
        <v>85</v>
      </c>
      <c r="K17" s="159"/>
      <c r="L17" s="790" t="s">
        <v>201</v>
      </c>
      <c r="M17" s="792" t="s">
        <v>202</v>
      </c>
      <c r="N17" s="792"/>
      <c r="O17" s="792"/>
      <c r="P17" s="792"/>
      <c r="Q17" s="792"/>
      <c r="R17" s="785" t="s">
        <v>3</v>
      </c>
      <c r="S17" s="159"/>
      <c r="T17" s="159"/>
      <c r="U17" s="169"/>
      <c r="V17" s="117">
        <v>47</v>
      </c>
      <c r="W17" s="117"/>
      <c r="X17" s="117"/>
      <c r="Y17" s="117"/>
    </row>
    <row r="18" spans="1:26" ht="21" customHeight="1">
      <c r="A18" s="250" t="s">
        <v>165</v>
      </c>
      <c r="B18" s="250"/>
      <c r="C18" s="251">
        <v>43</v>
      </c>
      <c r="D18" s="252">
        <v>31</v>
      </c>
      <c r="E18" s="252">
        <v>82</v>
      </c>
      <c r="F18" s="252"/>
      <c r="G18" s="252">
        <f t="shared" si="1"/>
        <v>156</v>
      </c>
      <c r="H18" s="159"/>
      <c r="I18" s="159"/>
      <c r="J18" s="161">
        <f t="shared" si="2"/>
        <v>156</v>
      </c>
      <c r="K18" s="159"/>
      <c r="L18" s="791"/>
      <c r="M18" s="172" t="s">
        <v>203</v>
      </c>
      <c r="N18" s="339" t="s">
        <v>204</v>
      </c>
      <c r="O18" s="339" t="s">
        <v>205</v>
      </c>
      <c r="P18" s="339" t="s">
        <v>51</v>
      </c>
      <c r="Q18" s="339" t="s">
        <v>134</v>
      </c>
      <c r="R18" s="786"/>
      <c r="S18" s="159"/>
      <c r="T18" s="159"/>
      <c r="U18" s="169">
        <v>39</v>
      </c>
      <c r="V18" s="117">
        <v>88</v>
      </c>
      <c r="W18" s="117"/>
      <c r="X18" s="117"/>
      <c r="Y18" s="117"/>
    </row>
    <row r="19" spans="1:26" ht="21" customHeight="1">
      <c r="A19" s="307" t="s">
        <v>164</v>
      </c>
      <c r="B19" s="299"/>
      <c r="C19" s="253">
        <v>41</v>
      </c>
      <c r="D19" s="254">
        <v>32</v>
      </c>
      <c r="E19" s="254"/>
      <c r="F19" s="254"/>
      <c r="G19" s="254">
        <f t="shared" si="1"/>
        <v>73</v>
      </c>
      <c r="H19" s="159"/>
      <c r="I19" s="159"/>
      <c r="J19" s="161">
        <f t="shared" si="2"/>
        <v>73</v>
      </c>
      <c r="K19" s="159"/>
      <c r="L19" s="173" t="s">
        <v>200</v>
      </c>
      <c r="M19" s="174"/>
      <c r="N19" s="174"/>
      <c r="O19" s="174">
        <f>B20</f>
        <v>0</v>
      </c>
      <c r="P19" s="174"/>
      <c r="Q19" s="174">
        <f>B29</f>
        <v>0</v>
      </c>
      <c r="R19" s="174">
        <f t="shared" ref="R19:R29" si="4">SUM(M19:Q19)</f>
        <v>0</v>
      </c>
      <c r="S19" s="159"/>
      <c r="T19" s="159"/>
      <c r="U19" s="169">
        <v>34</v>
      </c>
      <c r="V19" s="117"/>
      <c r="W19" s="117"/>
      <c r="X19" s="117"/>
      <c r="Y19" s="117"/>
    </row>
    <row r="20" spans="1:26" ht="21" customHeight="1">
      <c r="A20" s="95" t="s">
        <v>3</v>
      </c>
      <c r="B20" s="106">
        <f t="shared" ref="B20:G20" si="5">SUM(B6:B19)</f>
        <v>0</v>
      </c>
      <c r="C20" s="106">
        <f t="shared" si="5"/>
        <v>632</v>
      </c>
      <c r="D20" s="106">
        <f t="shared" si="5"/>
        <v>521</v>
      </c>
      <c r="E20" s="106">
        <f t="shared" si="5"/>
        <v>1167</v>
      </c>
      <c r="F20" s="106">
        <f t="shared" si="5"/>
        <v>873</v>
      </c>
      <c r="G20" s="106">
        <f t="shared" si="5"/>
        <v>3193</v>
      </c>
      <c r="H20" s="160"/>
      <c r="I20" s="160"/>
      <c r="J20" s="160"/>
      <c r="K20" s="160">
        <f>615+836+1173+526+696</f>
        <v>3846</v>
      </c>
      <c r="L20" s="173" t="s">
        <v>206</v>
      </c>
      <c r="M20" s="174"/>
      <c r="N20" s="174">
        <f>B111</f>
        <v>0</v>
      </c>
      <c r="O20" s="174"/>
      <c r="P20" s="174"/>
      <c r="Q20" s="174"/>
      <c r="R20" s="174">
        <f t="shared" si="4"/>
        <v>0</v>
      </c>
      <c r="S20" s="160"/>
      <c r="T20" s="160"/>
      <c r="U20" s="255">
        <f>SUM(U6:U19)</f>
        <v>612</v>
      </c>
      <c r="V20" s="117">
        <f>SUM(V6:V19)</f>
        <v>1215</v>
      </c>
      <c r="W20" s="117">
        <f>SUM(W6:W19)</f>
        <v>859</v>
      </c>
      <c r="X20" s="127">
        <f>SUM(X6:X19)</f>
        <v>633</v>
      </c>
      <c r="Y20" s="117">
        <f>SUM(Y6:Y19)</f>
        <v>390</v>
      </c>
      <c r="Z20" s="169"/>
    </row>
    <row r="21" spans="1:26" ht="21" hidden="1" customHeight="1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73" t="s">
        <v>206</v>
      </c>
      <c r="M21" s="174"/>
      <c r="N21" s="174"/>
      <c r="O21" s="174"/>
      <c r="P21" s="174"/>
      <c r="Q21" s="174"/>
      <c r="R21" s="174">
        <f t="shared" si="4"/>
        <v>0</v>
      </c>
      <c r="S21" s="159"/>
      <c r="T21" s="159"/>
    </row>
    <row r="22" spans="1:26" ht="21" hidden="1" customHeight="1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73" t="s">
        <v>200</v>
      </c>
      <c r="M22" s="174"/>
      <c r="N22" s="174"/>
      <c r="O22" s="174"/>
      <c r="P22" s="174"/>
      <c r="Q22" s="174"/>
      <c r="R22" s="174">
        <f t="shared" si="4"/>
        <v>0</v>
      </c>
      <c r="S22" s="159"/>
      <c r="T22" s="159"/>
    </row>
    <row r="23" spans="1:26" ht="21" hidden="1" customHeight="1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73" t="s">
        <v>206</v>
      </c>
      <c r="M23" s="174"/>
      <c r="N23" s="174"/>
      <c r="O23" s="174"/>
      <c r="P23" s="174"/>
      <c r="Q23" s="174"/>
      <c r="R23" s="174">
        <f t="shared" si="4"/>
        <v>0</v>
      </c>
      <c r="S23" s="160"/>
      <c r="T23" s="160"/>
    </row>
    <row r="24" spans="1:26" ht="21" customHeight="1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73" t="s">
        <v>197</v>
      </c>
      <c r="M24" s="174">
        <f>B130</f>
        <v>0</v>
      </c>
      <c r="N24" s="174">
        <f>B124</f>
        <v>0</v>
      </c>
      <c r="O24" s="174"/>
      <c r="P24" s="174"/>
      <c r="Q24" s="174"/>
      <c r="R24" s="174">
        <f t="shared" si="4"/>
        <v>0</v>
      </c>
      <c r="S24" s="159"/>
      <c r="T24" s="159"/>
    </row>
    <row r="25" spans="1:26" ht="21" customHeight="1">
      <c r="A25" s="96" t="s">
        <v>82</v>
      </c>
      <c r="B25" s="96"/>
      <c r="C25" s="122"/>
      <c r="D25" s="107"/>
      <c r="E25" s="107">
        <v>5</v>
      </c>
      <c r="F25" s="107"/>
      <c r="G25" s="252">
        <f>SUM(B25:F25)</f>
        <v>5</v>
      </c>
      <c r="H25" s="159"/>
      <c r="I25" s="159"/>
      <c r="J25" s="159"/>
      <c r="K25" s="159"/>
      <c r="L25" s="106" t="s">
        <v>3</v>
      </c>
      <c r="M25" s="106">
        <f t="shared" ref="M25:Q26" si="6">SUM(M19:M24)</f>
        <v>0</v>
      </c>
      <c r="N25" s="106">
        <f t="shared" si="6"/>
        <v>0</v>
      </c>
      <c r="O25" s="106">
        <f t="shared" si="6"/>
        <v>0</v>
      </c>
      <c r="P25" s="106">
        <f t="shared" si="6"/>
        <v>0</v>
      </c>
      <c r="Q25" s="106">
        <f t="shared" si="6"/>
        <v>0</v>
      </c>
      <c r="R25" s="106">
        <f t="shared" si="4"/>
        <v>0</v>
      </c>
      <c r="S25" s="159"/>
      <c r="T25" s="159"/>
      <c r="U25" s="169"/>
      <c r="V25" s="117">
        <v>6</v>
      </c>
      <c r="W25" s="117"/>
      <c r="X25" s="117"/>
      <c r="Y25" s="117">
        <f>SUM(U25:X25)</f>
        <v>6</v>
      </c>
      <c r="Z25" s="169"/>
    </row>
    <row r="26" spans="1:26" ht="21" customHeight="1">
      <c r="A26" s="96" t="s">
        <v>282</v>
      </c>
      <c r="B26" s="337"/>
      <c r="C26" s="122"/>
      <c r="D26" s="107"/>
      <c r="E26" s="107"/>
      <c r="F26" s="107"/>
      <c r="G26" s="252">
        <f>SUM(B26:F26)</f>
        <v>0</v>
      </c>
      <c r="H26" s="159"/>
      <c r="I26" s="159"/>
      <c r="J26" s="159"/>
      <c r="K26" s="159"/>
      <c r="L26" s="106" t="s">
        <v>3</v>
      </c>
      <c r="M26" s="106">
        <f t="shared" si="6"/>
        <v>0</v>
      </c>
      <c r="N26" s="106">
        <f t="shared" si="6"/>
        <v>0</v>
      </c>
      <c r="O26" s="106">
        <f t="shared" si="6"/>
        <v>0</v>
      </c>
      <c r="P26" s="106">
        <f t="shared" si="6"/>
        <v>0</v>
      </c>
      <c r="Q26" s="106">
        <f t="shared" si="6"/>
        <v>0</v>
      </c>
      <c r="R26" s="106">
        <f t="shared" ref="R26" si="7">SUM(M26:Q26)</f>
        <v>0</v>
      </c>
      <c r="S26" s="159"/>
      <c r="T26" s="159"/>
      <c r="U26" s="169"/>
      <c r="V26" s="117">
        <v>6</v>
      </c>
      <c r="W26" s="117"/>
      <c r="X26" s="117"/>
      <c r="Y26" s="117">
        <f>SUM(U26:X26)</f>
        <v>6</v>
      </c>
      <c r="Z26" s="169"/>
    </row>
    <row r="27" spans="1:26" ht="21" customHeight="1">
      <c r="A27" s="96" t="s">
        <v>97</v>
      </c>
      <c r="B27" s="96"/>
      <c r="C27" s="122"/>
      <c r="D27" s="107">
        <v>5</v>
      </c>
      <c r="E27" s="107"/>
      <c r="F27" s="107">
        <v>15</v>
      </c>
      <c r="G27" s="252">
        <f>SUM(B27:F27)</f>
        <v>20</v>
      </c>
      <c r="H27" s="159"/>
      <c r="I27" s="159"/>
      <c r="J27" s="159"/>
      <c r="K27" s="159"/>
      <c r="L27" s="173" t="s">
        <v>199</v>
      </c>
      <c r="M27" s="174"/>
      <c r="N27" s="174">
        <f>B42</f>
        <v>0</v>
      </c>
      <c r="O27" s="174"/>
      <c r="P27" s="174">
        <f>B47</f>
        <v>0</v>
      </c>
      <c r="Q27" s="174">
        <f>B50</f>
        <v>0</v>
      </c>
      <c r="R27" s="174">
        <f t="shared" si="4"/>
        <v>0</v>
      </c>
      <c r="S27" s="159"/>
      <c r="T27" s="159"/>
      <c r="U27" s="169">
        <v>6</v>
      </c>
      <c r="V27" s="117"/>
      <c r="W27" s="117">
        <v>19</v>
      </c>
      <c r="X27" s="117"/>
      <c r="Y27" s="117">
        <f>SUM(U27:X27)</f>
        <v>25</v>
      </c>
      <c r="Z27" s="169"/>
    </row>
    <row r="28" spans="1:26" ht="21" customHeight="1">
      <c r="A28" s="96" t="s">
        <v>98</v>
      </c>
      <c r="B28" s="96"/>
      <c r="C28" s="122"/>
      <c r="D28" s="107"/>
      <c r="E28" s="107"/>
      <c r="F28" s="107">
        <v>5</v>
      </c>
      <c r="G28" s="107">
        <f>SUM(B28:F28)</f>
        <v>5</v>
      </c>
      <c r="H28" s="159"/>
      <c r="I28" s="159"/>
      <c r="J28" s="159"/>
      <c r="K28" s="159"/>
      <c r="L28" s="173" t="s">
        <v>17</v>
      </c>
      <c r="M28" s="174"/>
      <c r="N28" s="174">
        <f>B78</f>
        <v>0</v>
      </c>
      <c r="O28" s="174"/>
      <c r="P28" s="174"/>
      <c r="Q28" s="174"/>
      <c r="R28" s="174">
        <f t="shared" si="4"/>
        <v>0</v>
      </c>
      <c r="S28" s="159"/>
      <c r="T28" s="159"/>
      <c r="U28" s="169"/>
      <c r="V28" s="117"/>
      <c r="W28" s="117">
        <v>9</v>
      </c>
      <c r="X28" s="117"/>
      <c r="Y28" s="117">
        <f>SUM(U28:X28)</f>
        <v>9</v>
      </c>
      <c r="Z28" s="169"/>
    </row>
    <row r="29" spans="1:26" ht="21" customHeight="1">
      <c r="A29" s="95" t="s">
        <v>3</v>
      </c>
      <c r="B29" s="106">
        <f t="shared" ref="B29:G29" si="8">SUM(B25:B28)</f>
        <v>0</v>
      </c>
      <c r="C29" s="106">
        <f t="shared" si="8"/>
        <v>0</v>
      </c>
      <c r="D29" s="106">
        <f t="shared" si="8"/>
        <v>5</v>
      </c>
      <c r="E29" s="106">
        <f t="shared" si="8"/>
        <v>5</v>
      </c>
      <c r="F29" s="106">
        <f t="shared" si="8"/>
        <v>20</v>
      </c>
      <c r="G29" s="106">
        <f t="shared" si="8"/>
        <v>30</v>
      </c>
      <c r="H29" s="160"/>
      <c r="I29" s="160"/>
      <c r="J29" s="160"/>
      <c r="K29" s="160"/>
      <c r="L29" s="173" t="s">
        <v>198</v>
      </c>
      <c r="M29" s="174">
        <f>B73</f>
        <v>0</v>
      </c>
      <c r="N29" s="174">
        <f>B62</f>
        <v>0</v>
      </c>
      <c r="O29" s="174"/>
      <c r="P29" s="174"/>
      <c r="Q29" s="174"/>
      <c r="R29" s="174">
        <f t="shared" si="4"/>
        <v>0</v>
      </c>
      <c r="S29" s="160"/>
      <c r="T29" s="160"/>
      <c r="U29" s="169">
        <f>SUM(U25:U28)</f>
        <v>6</v>
      </c>
      <c r="V29" s="117">
        <f>SUM(V25:V28)</f>
        <v>12</v>
      </c>
      <c r="W29" s="117">
        <f>SUM(W25:W28)</f>
        <v>28</v>
      </c>
      <c r="Y29" s="169">
        <f>SUM(U29:X29)</f>
        <v>46</v>
      </c>
      <c r="Z29" s="169"/>
    </row>
    <row r="30" spans="1:26" ht="21" customHeight="1">
      <c r="A30" s="98" t="s">
        <v>11</v>
      </c>
      <c r="B30" s="106">
        <f>SUM(B42,B50,B47)</f>
        <v>0</v>
      </c>
      <c r="C30" s="106">
        <f t="shared" ref="C30:F30" si="9">SUM(C42,C50,C47)</f>
        <v>389</v>
      </c>
      <c r="D30" s="106">
        <f t="shared" si="9"/>
        <v>311</v>
      </c>
      <c r="E30" s="106">
        <f t="shared" si="9"/>
        <v>308</v>
      </c>
      <c r="F30" s="106">
        <f t="shared" si="9"/>
        <v>96</v>
      </c>
      <c r="G30" s="106">
        <f>SUM(G42,G50,G47)</f>
        <v>1104</v>
      </c>
      <c r="H30" s="160">
        <f>1708-20</f>
        <v>1688</v>
      </c>
      <c r="I30" s="160"/>
      <c r="J30" s="160"/>
      <c r="K30" s="160"/>
      <c r="L30" s="182" t="s">
        <v>3</v>
      </c>
      <c r="M30" s="106">
        <f t="shared" ref="M30:R30" si="10">SUM(M27:M29)</f>
        <v>0</v>
      </c>
      <c r="N30" s="106">
        <f t="shared" si="10"/>
        <v>0</v>
      </c>
      <c r="O30" s="106">
        <f t="shared" si="10"/>
        <v>0</v>
      </c>
      <c r="P30" s="106">
        <f t="shared" si="10"/>
        <v>0</v>
      </c>
      <c r="Q30" s="106">
        <f t="shared" si="10"/>
        <v>0</v>
      </c>
      <c r="R30" s="106">
        <f t="shared" si="10"/>
        <v>0</v>
      </c>
      <c r="S30" s="160"/>
      <c r="T30" s="160"/>
      <c r="W30" s="117">
        <f>G30</f>
        <v>1104</v>
      </c>
      <c r="X30" s="117">
        <f>G51</f>
        <v>706</v>
      </c>
      <c r="Y30" s="117">
        <f>G78</f>
        <v>525</v>
      </c>
      <c r="Z30" s="117"/>
    </row>
    <row r="31" spans="1:26" ht="21" customHeight="1">
      <c r="A31" s="99" t="s">
        <v>138</v>
      </c>
      <c r="B31" s="99"/>
      <c r="C31" s="123">
        <f>35+36</f>
        <v>71</v>
      </c>
      <c r="D31" s="109">
        <v>61</v>
      </c>
      <c r="E31" s="109">
        <v>61</v>
      </c>
      <c r="F31" s="109">
        <f>12+10</f>
        <v>22</v>
      </c>
      <c r="G31" s="109">
        <f t="shared" ref="G31:G41" si="11">SUM(B31:F31)</f>
        <v>215</v>
      </c>
      <c r="H31" s="161"/>
      <c r="I31" s="161">
        <v>1</v>
      </c>
      <c r="J31" s="161">
        <f t="shared" ref="J31:J41" si="12">SUM(C31:F31)</f>
        <v>215</v>
      </c>
      <c r="K31" s="161"/>
      <c r="L31" s="182" t="s">
        <v>59</v>
      </c>
      <c r="M31" s="106">
        <f t="shared" ref="M31:R31" si="13">SUM(M25,M30)</f>
        <v>0</v>
      </c>
      <c r="N31" s="106">
        <f t="shared" si="13"/>
        <v>0</v>
      </c>
      <c r="O31" s="106">
        <f t="shared" si="13"/>
        <v>0</v>
      </c>
      <c r="P31" s="106">
        <f t="shared" si="13"/>
        <v>0</v>
      </c>
      <c r="Q31" s="106">
        <f t="shared" si="13"/>
        <v>0</v>
      </c>
      <c r="R31" s="106">
        <f t="shared" si="13"/>
        <v>0</v>
      </c>
      <c r="S31" s="161"/>
      <c r="T31" s="161"/>
      <c r="U31" s="169">
        <v>93</v>
      </c>
      <c r="V31" s="117">
        <v>69</v>
      </c>
      <c r="W31" s="117">
        <v>72</v>
      </c>
      <c r="X31" s="117">
        <v>70</v>
      </c>
      <c r="Y31" s="117">
        <v>51</v>
      </c>
    </row>
    <row r="32" spans="1:26" ht="21" customHeight="1">
      <c r="A32" s="100" t="s">
        <v>91</v>
      </c>
      <c r="B32" s="100"/>
      <c r="C32" s="124">
        <f>35+48</f>
        <v>83</v>
      </c>
      <c r="D32" s="108">
        <f>35+22</f>
        <v>57</v>
      </c>
      <c r="E32" s="108">
        <f>32+30</f>
        <v>62</v>
      </c>
      <c r="F32" s="108">
        <f>6+3</f>
        <v>9</v>
      </c>
      <c r="G32" s="108">
        <f t="shared" si="11"/>
        <v>211</v>
      </c>
      <c r="H32" s="161"/>
      <c r="I32" s="161">
        <v>2</v>
      </c>
      <c r="J32" s="161">
        <f t="shared" si="12"/>
        <v>211</v>
      </c>
      <c r="K32" s="161"/>
      <c r="L32" s="175"/>
      <c r="M32" s="159"/>
      <c r="N32" s="159"/>
      <c r="O32" s="159"/>
      <c r="P32" s="159"/>
      <c r="Q32" s="159"/>
      <c r="R32" s="159"/>
      <c r="S32" s="161"/>
      <c r="T32" s="161"/>
      <c r="U32" s="169">
        <v>88</v>
      </c>
      <c r="V32" s="117">
        <v>69</v>
      </c>
      <c r="W32" s="117">
        <v>61</v>
      </c>
      <c r="X32" s="117">
        <v>37</v>
      </c>
      <c r="Y32" s="117">
        <v>24</v>
      </c>
    </row>
    <row r="33" spans="1:27" ht="21" customHeight="1">
      <c r="A33" s="100" t="s">
        <v>77</v>
      </c>
      <c r="B33" s="100"/>
      <c r="C33" s="256"/>
      <c r="D33" s="108"/>
      <c r="E33" s="108">
        <v>34</v>
      </c>
      <c r="F33" s="108">
        <v>5</v>
      </c>
      <c r="G33" s="108">
        <f t="shared" si="11"/>
        <v>39</v>
      </c>
      <c r="H33" s="161"/>
      <c r="I33" s="161">
        <v>3</v>
      </c>
      <c r="J33" s="161">
        <f t="shared" si="12"/>
        <v>39</v>
      </c>
      <c r="K33" s="161"/>
      <c r="L33" s="189" t="s">
        <v>284</v>
      </c>
      <c r="M33" s="159"/>
      <c r="N33" s="159"/>
      <c r="O33" s="159"/>
      <c r="P33" s="159"/>
      <c r="Q33" s="159"/>
      <c r="R33" s="159"/>
      <c r="S33" s="161"/>
      <c r="T33" s="161"/>
      <c r="U33" s="169"/>
      <c r="V33" s="117">
        <v>42</v>
      </c>
      <c r="W33" s="117">
        <v>61</v>
      </c>
      <c r="X33" s="117">
        <v>31</v>
      </c>
      <c r="Y33" s="117">
        <v>6</v>
      </c>
    </row>
    <row r="34" spans="1:27" ht="21" customHeight="1">
      <c r="A34" s="100" t="s">
        <v>9</v>
      </c>
      <c r="B34" s="100"/>
      <c r="C34" s="124">
        <v>36</v>
      </c>
      <c r="D34" s="108">
        <v>33</v>
      </c>
      <c r="E34" s="108"/>
      <c r="F34" s="108"/>
      <c r="G34" s="108">
        <f t="shared" si="11"/>
        <v>69</v>
      </c>
      <c r="H34" s="161"/>
      <c r="I34" s="161">
        <v>4</v>
      </c>
      <c r="J34" s="161">
        <f t="shared" si="12"/>
        <v>69</v>
      </c>
      <c r="K34" s="161"/>
      <c r="L34" s="177"/>
      <c r="M34" s="161"/>
      <c r="N34" s="161"/>
      <c r="O34" s="161"/>
      <c r="P34" s="161"/>
      <c r="Q34" s="161"/>
      <c r="R34" s="161"/>
      <c r="S34" s="161"/>
      <c r="T34" s="161"/>
      <c r="U34" s="169">
        <v>36</v>
      </c>
      <c r="V34" s="117"/>
      <c r="W34" s="117"/>
      <c r="X34" s="117"/>
      <c r="Y34" s="117">
        <v>1</v>
      </c>
    </row>
    <row r="35" spans="1:27" ht="21" customHeight="1">
      <c r="A35" s="100" t="s">
        <v>12</v>
      </c>
      <c r="B35" s="100"/>
      <c r="C35" s="124">
        <v>22</v>
      </c>
      <c r="D35" s="108">
        <v>14</v>
      </c>
      <c r="E35" s="108">
        <v>20</v>
      </c>
      <c r="F35" s="108">
        <f>32+15</f>
        <v>47</v>
      </c>
      <c r="G35" s="108">
        <f t="shared" si="11"/>
        <v>103</v>
      </c>
      <c r="H35" s="161"/>
      <c r="I35" s="161">
        <v>5</v>
      </c>
      <c r="J35" s="161">
        <f t="shared" si="12"/>
        <v>103</v>
      </c>
      <c r="K35" s="161"/>
      <c r="L35" s="177"/>
      <c r="M35" s="161"/>
      <c r="N35" s="161"/>
      <c r="O35" s="161"/>
      <c r="P35" s="161"/>
      <c r="Q35" s="161"/>
      <c r="R35" s="161"/>
      <c r="S35" s="161"/>
      <c r="T35" s="161"/>
      <c r="U35" s="169">
        <v>27</v>
      </c>
      <c r="V35" s="117">
        <v>23</v>
      </c>
      <c r="W35" s="117">
        <v>45</v>
      </c>
      <c r="X35" s="117">
        <v>38</v>
      </c>
      <c r="Y35" s="117">
        <v>10</v>
      </c>
    </row>
    <row r="36" spans="1:27" ht="21" customHeight="1">
      <c r="A36" s="100" t="s">
        <v>13</v>
      </c>
      <c r="B36" s="100"/>
      <c r="C36" s="124">
        <v>27</v>
      </c>
      <c r="D36" s="108">
        <v>26</v>
      </c>
      <c r="E36" s="108">
        <v>26</v>
      </c>
      <c r="F36" s="108">
        <v>2</v>
      </c>
      <c r="G36" s="108">
        <f t="shared" si="11"/>
        <v>81</v>
      </c>
      <c r="H36" s="161"/>
      <c r="I36" s="161">
        <v>6</v>
      </c>
      <c r="J36" s="161">
        <f t="shared" si="12"/>
        <v>81</v>
      </c>
      <c r="K36" s="161"/>
      <c r="L36" s="177"/>
      <c r="M36" s="161"/>
      <c r="N36" s="161"/>
      <c r="O36" s="161"/>
      <c r="P36" s="161"/>
      <c r="Q36" s="161"/>
      <c r="R36" s="161"/>
      <c r="S36" s="161"/>
      <c r="T36" s="161"/>
      <c r="U36" s="169">
        <v>43</v>
      </c>
      <c r="V36" s="117">
        <v>27</v>
      </c>
      <c r="W36" s="117">
        <v>37</v>
      </c>
      <c r="X36" s="117">
        <v>36</v>
      </c>
      <c r="Y36" s="117"/>
    </row>
    <row r="37" spans="1:27" ht="21" hidden="1" customHeight="1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77"/>
      <c r="M37" s="161"/>
      <c r="N37" s="161"/>
      <c r="O37" s="161"/>
      <c r="P37" s="161"/>
      <c r="Q37" s="161"/>
      <c r="R37" s="161"/>
      <c r="S37" s="161"/>
      <c r="T37" s="161"/>
      <c r="U37" s="169"/>
      <c r="V37" s="117"/>
      <c r="W37" s="117"/>
      <c r="X37" s="117"/>
      <c r="Y37" s="117"/>
    </row>
    <row r="38" spans="1:27" ht="21" customHeight="1">
      <c r="A38" s="100" t="s">
        <v>116</v>
      </c>
      <c r="B38" s="100"/>
      <c r="C38" s="124">
        <v>41</v>
      </c>
      <c r="D38" s="108">
        <v>29</v>
      </c>
      <c r="E38" s="108">
        <v>32</v>
      </c>
      <c r="F38" s="108">
        <v>3</v>
      </c>
      <c r="G38" s="108">
        <f t="shared" si="11"/>
        <v>105</v>
      </c>
      <c r="H38" s="161"/>
      <c r="I38" s="161">
        <v>7</v>
      </c>
      <c r="J38" s="161">
        <f t="shared" si="12"/>
        <v>105</v>
      </c>
      <c r="K38" s="161"/>
      <c r="L38" s="177"/>
      <c r="M38" s="161"/>
      <c r="N38" s="161"/>
      <c r="O38" s="161"/>
      <c r="P38" s="161"/>
      <c r="Q38" s="161"/>
      <c r="R38" s="161"/>
      <c r="S38" s="161"/>
      <c r="T38" s="161"/>
      <c r="U38" s="169">
        <v>53</v>
      </c>
      <c r="V38" s="117">
        <v>37</v>
      </c>
      <c r="W38" s="117">
        <v>100</v>
      </c>
      <c r="X38" s="117">
        <v>46</v>
      </c>
      <c r="Y38" s="117">
        <v>12</v>
      </c>
    </row>
    <row r="39" spans="1:27" ht="21" customHeight="1">
      <c r="A39" s="99" t="s">
        <v>167</v>
      </c>
      <c r="B39" s="99"/>
      <c r="C39" s="123"/>
      <c r="D39" s="109"/>
      <c r="E39" s="109">
        <f>30+40</f>
        <v>70</v>
      </c>
      <c r="F39" s="109">
        <f>4+3</f>
        <v>7</v>
      </c>
      <c r="G39" s="108">
        <f t="shared" si="11"/>
        <v>77</v>
      </c>
      <c r="H39" s="161"/>
      <c r="I39" s="161">
        <v>8</v>
      </c>
      <c r="J39" s="161">
        <f t="shared" si="12"/>
        <v>77</v>
      </c>
      <c r="K39" s="161"/>
      <c r="L39" s="177"/>
      <c r="M39" s="161"/>
      <c r="N39" s="161"/>
      <c r="O39" s="161"/>
      <c r="P39" s="161"/>
      <c r="Q39" s="161"/>
      <c r="R39" s="161"/>
      <c r="S39" s="161"/>
      <c r="T39" s="161"/>
      <c r="U39" s="169"/>
      <c r="V39" s="117">
        <v>74</v>
      </c>
      <c r="W39" s="117">
        <v>92</v>
      </c>
      <c r="X39" s="117">
        <v>59</v>
      </c>
      <c r="Y39" s="117">
        <v>4</v>
      </c>
    </row>
    <row r="40" spans="1:27" ht="21" customHeight="1">
      <c r="A40" s="99" t="s">
        <v>166</v>
      </c>
      <c r="B40" s="99"/>
      <c r="C40" s="123">
        <f>43+39</f>
        <v>82</v>
      </c>
      <c r="D40" s="109">
        <f>34+23</f>
        <v>57</v>
      </c>
      <c r="E40" s="109"/>
      <c r="F40" s="109"/>
      <c r="G40" s="108">
        <f t="shared" si="11"/>
        <v>139</v>
      </c>
      <c r="H40" s="161"/>
      <c r="I40" s="161">
        <v>9</v>
      </c>
      <c r="J40" s="161">
        <f t="shared" si="12"/>
        <v>139</v>
      </c>
      <c r="K40" s="161"/>
      <c r="L40" s="177"/>
      <c r="M40" s="161"/>
      <c r="N40" s="161"/>
      <c r="O40" s="161"/>
      <c r="P40" s="161"/>
      <c r="Q40" s="161"/>
      <c r="R40" s="161"/>
      <c r="S40" s="161"/>
      <c r="T40" s="161"/>
      <c r="U40" s="169">
        <v>80</v>
      </c>
      <c r="V40" s="117"/>
      <c r="W40" s="117"/>
      <c r="X40" s="117"/>
      <c r="Y40" s="117"/>
    </row>
    <row r="41" spans="1:27" ht="21" customHeight="1">
      <c r="A41" s="99" t="s">
        <v>137</v>
      </c>
      <c r="B41" s="99"/>
      <c r="C41" s="123">
        <v>27</v>
      </c>
      <c r="D41" s="109">
        <v>26</v>
      </c>
      <c r="E41" s="109"/>
      <c r="F41" s="109">
        <v>1</v>
      </c>
      <c r="G41" s="109">
        <f t="shared" si="11"/>
        <v>54</v>
      </c>
      <c r="H41" s="161"/>
      <c r="I41" s="161">
        <v>10</v>
      </c>
      <c r="J41" s="161">
        <f t="shared" si="12"/>
        <v>54</v>
      </c>
      <c r="K41" s="161"/>
      <c r="L41" s="177"/>
      <c r="M41" s="161"/>
      <c r="N41" s="161"/>
      <c r="O41" s="161"/>
      <c r="P41" s="161"/>
      <c r="Q41" s="161"/>
      <c r="R41" s="161"/>
      <c r="S41" s="161"/>
      <c r="T41" s="161"/>
      <c r="U41" s="169">
        <v>32</v>
      </c>
      <c r="V41" s="117"/>
      <c r="W41" s="117"/>
      <c r="X41" s="117"/>
      <c r="Y41" s="117">
        <v>2</v>
      </c>
    </row>
    <row r="42" spans="1:27" ht="21" customHeight="1">
      <c r="A42" s="95" t="s">
        <v>3</v>
      </c>
      <c r="B42" s="106">
        <f t="shared" ref="B42:F42" si="14">SUM(B31:B41)</f>
        <v>0</v>
      </c>
      <c r="C42" s="106">
        <f t="shared" si="14"/>
        <v>389</v>
      </c>
      <c r="D42" s="106">
        <f t="shared" si="14"/>
        <v>303</v>
      </c>
      <c r="E42" s="106">
        <f t="shared" si="14"/>
        <v>305</v>
      </c>
      <c r="F42" s="106">
        <f t="shared" si="14"/>
        <v>96</v>
      </c>
      <c r="G42" s="106">
        <f>SUM(G31:G41)</f>
        <v>1093</v>
      </c>
      <c r="H42" s="160"/>
      <c r="I42" s="160"/>
      <c r="J42" s="160"/>
      <c r="K42" s="160"/>
      <c r="L42" s="176"/>
      <c r="M42" s="160"/>
      <c r="N42" s="160"/>
      <c r="O42" s="160"/>
      <c r="P42" s="160"/>
      <c r="Q42" s="160"/>
      <c r="R42" s="160"/>
      <c r="S42" s="160"/>
      <c r="T42" s="160"/>
      <c r="U42" s="169">
        <f>SUM(U31:U41)</f>
        <v>452</v>
      </c>
      <c r="V42" s="117">
        <f>SUM(V31:V41)</f>
        <v>341</v>
      </c>
      <c r="W42" s="117">
        <f>SUM(W31:W41)</f>
        <v>468</v>
      </c>
      <c r="X42" s="117">
        <f>SUM(X31:X41)</f>
        <v>317</v>
      </c>
      <c r="Y42" s="117">
        <f>SUM(Y31:Y41)</f>
        <v>110</v>
      </c>
      <c r="Z42" s="117"/>
      <c r="AA42" s="117"/>
    </row>
    <row r="43" spans="1:27" ht="21" customHeight="1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75"/>
      <c r="M43" s="159"/>
      <c r="N43" s="159"/>
      <c r="O43" s="159"/>
      <c r="P43" s="159"/>
      <c r="Q43" s="159"/>
      <c r="R43" s="159"/>
      <c r="S43" s="159"/>
      <c r="T43" s="159"/>
    </row>
    <row r="44" spans="1:27" ht="21" customHeight="1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75"/>
      <c r="M44" s="159"/>
      <c r="N44" s="159"/>
      <c r="O44" s="159"/>
      <c r="P44" s="159"/>
      <c r="Q44" s="159"/>
      <c r="R44" s="159"/>
      <c r="S44" s="159"/>
      <c r="T44" s="159"/>
      <c r="U44" s="169"/>
      <c r="V44" s="117"/>
      <c r="W44" s="117"/>
      <c r="X44" s="117">
        <v>3</v>
      </c>
      <c r="Y44" s="117"/>
    </row>
    <row r="45" spans="1:27" ht="21" customHeight="1">
      <c r="A45" s="96" t="s">
        <v>13</v>
      </c>
      <c r="B45" s="337"/>
      <c r="C45" s="122"/>
      <c r="D45" s="107">
        <v>6</v>
      </c>
      <c r="E45" s="107"/>
      <c r="F45" s="107"/>
      <c r="G45" s="107">
        <f>SUM(B45:F45)</f>
        <v>6</v>
      </c>
      <c r="H45" s="257" t="s">
        <v>196</v>
      </c>
      <c r="I45" s="258"/>
      <c r="J45" s="258"/>
      <c r="K45" s="258"/>
      <c r="L45" s="183"/>
      <c r="M45" s="184"/>
      <c r="N45" s="184"/>
      <c r="O45" s="184"/>
      <c r="P45" s="184"/>
      <c r="Q45" s="184"/>
      <c r="R45" s="184"/>
      <c r="S45" s="258"/>
      <c r="T45" s="258"/>
      <c r="U45" s="169">
        <v>6</v>
      </c>
      <c r="V45" s="117"/>
      <c r="W45" s="117">
        <v>3</v>
      </c>
      <c r="X45" s="117"/>
      <c r="Y45" s="117"/>
    </row>
    <row r="46" spans="1:27" ht="21" customHeight="1">
      <c r="A46" s="96" t="s">
        <v>174</v>
      </c>
      <c r="B46" s="337"/>
      <c r="C46" s="122"/>
      <c r="D46" s="107">
        <v>2</v>
      </c>
      <c r="E46" s="107"/>
      <c r="F46" s="107"/>
      <c r="G46" s="107">
        <f>SUM(B46:F46)</f>
        <v>2</v>
      </c>
      <c r="H46" s="257" t="s">
        <v>196</v>
      </c>
      <c r="I46" s="258"/>
      <c r="J46" s="258"/>
      <c r="K46" s="258"/>
      <c r="L46" s="183"/>
      <c r="M46" s="184"/>
      <c r="N46" s="184"/>
      <c r="O46" s="184"/>
      <c r="P46" s="184"/>
      <c r="Q46" s="184"/>
      <c r="R46" s="184"/>
      <c r="S46" s="258"/>
      <c r="T46" s="258"/>
      <c r="U46" s="169">
        <v>2</v>
      </c>
      <c r="V46" s="117"/>
      <c r="W46" s="117">
        <v>3</v>
      </c>
      <c r="X46" s="117"/>
      <c r="Y46" s="117"/>
    </row>
    <row r="47" spans="1:27" ht="21" customHeight="1">
      <c r="A47" s="95" t="s">
        <v>3</v>
      </c>
      <c r="B47" s="106">
        <f t="shared" ref="B47:G47" si="15">SUM(B44:B46)</f>
        <v>0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8</v>
      </c>
      <c r="H47" s="160"/>
      <c r="I47" s="160"/>
      <c r="J47" s="160"/>
      <c r="K47" s="160"/>
      <c r="L47" s="176"/>
      <c r="M47" s="109">
        <v>21</v>
      </c>
      <c r="N47" s="109">
        <v>33</v>
      </c>
      <c r="O47" s="109">
        <f>4+2+1</f>
        <v>7</v>
      </c>
      <c r="P47" s="160">
        <f t="shared" ref="P47:P52" si="16">SUM(M47:O47)</f>
        <v>61</v>
      </c>
      <c r="Q47" s="160"/>
      <c r="R47" s="160"/>
      <c r="S47" s="160"/>
      <c r="T47" s="160"/>
      <c r="U47" s="169">
        <f>SUM(U44:U46)</f>
        <v>8</v>
      </c>
      <c r="W47" s="117">
        <f>SUM(W44:W46)</f>
        <v>6</v>
      </c>
      <c r="X47" s="117">
        <f>SUM(X44:X46)</f>
        <v>3</v>
      </c>
      <c r="Z47" s="169"/>
    </row>
    <row r="48" spans="1:27" ht="21" customHeight="1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75"/>
      <c r="M48" s="109">
        <v>19</v>
      </c>
      <c r="N48" s="109">
        <v>20</v>
      </c>
      <c r="O48" s="109">
        <f>4+3+1</f>
        <v>8</v>
      </c>
      <c r="P48" s="160">
        <f t="shared" si="16"/>
        <v>47</v>
      </c>
      <c r="Q48" s="159"/>
      <c r="R48" s="159"/>
      <c r="S48" s="159"/>
      <c r="T48" s="159"/>
    </row>
    <row r="49" spans="1:26" ht="21" customHeight="1">
      <c r="A49" s="96" t="s">
        <v>13</v>
      </c>
      <c r="B49" s="337"/>
      <c r="C49" s="122"/>
      <c r="D49" s="107"/>
      <c r="E49" s="107">
        <v>3</v>
      </c>
      <c r="F49" s="107"/>
      <c r="G49" s="107">
        <f>SUM(B49:F49)</f>
        <v>3</v>
      </c>
      <c r="H49" s="159"/>
      <c r="I49" s="159"/>
      <c r="J49" s="159"/>
      <c r="K49" s="159"/>
      <c r="L49" s="175"/>
      <c r="M49" s="109">
        <f>20+27</f>
        <v>47</v>
      </c>
      <c r="N49" s="109">
        <f>26+27+1</f>
        <v>54</v>
      </c>
      <c r="O49" s="109">
        <f>5+5+5</f>
        <v>15</v>
      </c>
      <c r="P49" s="160">
        <f t="shared" si="16"/>
        <v>116</v>
      </c>
      <c r="Q49" s="159"/>
      <c r="R49" s="159"/>
      <c r="S49" s="159"/>
      <c r="T49" s="159"/>
    </row>
    <row r="50" spans="1:26" ht="21" customHeight="1">
      <c r="A50" s="95" t="s">
        <v>3</v>
      </c>
      <c r="B50" s="106">
        <f t="shared" ref="B50:G50" si="17">SUM(B49:B49)</f>
        <v>0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3</v>
      </c>
      <c r="H50" s="160"/>
      <c r="I50" s="160"/>
      <c r="J50" s="160"/>
      <c r="K50" s="160"/>
      <c r="L50" s="176"/>
      <c r="M50" s="109">
        <v>12</v>
      </c>
      <c r="N50" s="109">
        <v>11</v>
      </c>
      <c r="O50" s="109">
        <v>5</v>
      </c>
      <c r="P50" s="160">
        <f t="shared" si="16"/>
        <v>28</v>
      </c>
      <c r="Q50" s="160"/>
      <c r="R50" s="160"/>
      <c r="S50" s="160"/>
      <c r="T50" s="160"/>
    </row>
    <row r="51" spans="1:26" ht="21" customHeight="1">
      <c r="A51" s="101" t="s">
        <v>216</v>
      </c>
      <c r="B51" s="110">
        <f>SUM(B62,B73,B77)</f>
        <v>0</v>
      </c>
      <c r="C51" s="110">
        <f t="shared" ref="C51:G51" si="18">SUM(C62,C73,C77)</f>
        <v>286</v>
      </c>
      <c r="D51" s="110">
        <f t="shared" si="18"/>
        <v>239</v>
      </c>
      <c r="E51" s="110">
        <f t="shared" si="18"/>
        <v>131</v>
      </c>
      <c r="F51" s="110">
        <f t="shared" si="18"/>
        <v>50</v>
      </c>
      <c r="G51" s="110">
        <f t="shared" si="18"/>
        <v>706</v>
      </c>
      <c r="H51" s="162"/>
      <c r="I51" s="162"/>
      <c r="J51" s="162"/>
      <c r="K51" s="162"/>
      <c r="L51" s="178"/>
      <c r="M51" s="109">
        <f>19+7</f>
        <v>26</v>
      </c>
      <c r="N51" s="109">
        <v>14</v>
      </c>
      <c r="O51" s="109">
        <f>2+2</f>
        <v>4</v>
      </c>
      <c r="P51" s="160">
        <f t="shared" si="16"/>
        <v>44</v>
      </c>
      <c r="Q51" s="162"/>
      <c r="R51" s="162"/>
      <c r="S51" s="162"/>
      <c r="T51" s="162"/>
      <c r="W51" s="117">
        <f>G51</f>
        <v>706</v>
      </c>
      <c r="Z51" s="93">
        <f>1294+870</f>
        <v>2164</v>
      </c>
    </row>
    <row r="52" spans="1:26" ht="21" customHeight="1">
      <c r="A52" s="99" t="s">
        <v>242</v>
      </c>
      <c r="B52" s="99"/>
      <c r="C52" s="123"/>
      <c r="D52" s="109"/>
      <c r="E52" s="109">
        <v>19</v>
      </c>
      <c r="F52" s="109">
        <v>7</v>
      </c>
      <c r="G52" s="109">
        <f t="shared" ref="G52:G61" si="19">SUM(B52:F52)</f>
        <v>26</v>
      </c>
      <c r="H52" s="161"/>
      <c r="I52" s="161"/>
      <c r="J52" s="161">
        <f t="shared" ref="J52:J61" si="20">SUM(C52:F52)</f>
        <v>26</v>
      </c>
      <c r="K52" s="161"/>
      <c r="L52" s="177"/>
      <c r="M52" s="114">
        <v>16</v>
      </c>
      <c r="N52" s="114">
        <v>35</v>
      </c>
      <c r="O52" s="114">
        <f>23+8</f>
        <v>31</v>
      </c>
      <c r="P52" s="160">
        <f t="shared" si="16"/>
        <v>82</v>
      </c>
      <c r="Q52" s="161"/>
      <c r="R52" s="161"/>
      <c r="S52" s="161"/>
      <c r="T52" s="161"/>
      <c r="U52" s="169">
        <v>39</v>
      </c>
      <c r="V52" s="117">
        <v>26</v>
      </c>
      <c r="W52" s="117">
        <v>35</v>
      </c>
      <c r="X52" s="117">
        <v>15</v>
      </c>
      <c r="Y52" s="117">
        <v>4</v>
      </c>
    </row>
    <row r="53" spans="1:26" ht="21" customHeight="1">
      <c r="A53" s="99" t="s">
        <v>243</v>
      </c>
      <c r="B53" s="99"/>
      <c r="C53" s="123">
        <v>16</v>
      </c>
      <c r="D53" s="109">
        <v>26</v>
      </c>
      <c r="E53" s="109">
        <v>18</v>
      </c>
      <c r="F53" s="109">
        <v>4</v>
      </c>
      <c r="G53" s="109">
        <f t="shared" si="19"/>
        <v>64</v>
      </c>
      <c r="H53" s="161"/>
      <c r="I53" s="161"/>
      <c r="J53" s="161">
        <f t="shared" si="20"/>
        <v>64</v>
      </c>
      <c r="K53" s="161"/>
      <c r="L53" s="177" t="s">
        <v>251</v>
      </c>
      <c r="M53" s="161"/>
      <c r="N53" s="161"/>
      <c r="O53" s="161"/>
      <c r="P53" s="161">
        <f>SUM(P47:P52)</f>
        <v>378</v>
      </c>
      <c r="Q53" s="161"/>
      <c r="R53" s="161"/>
      <c r="S53" s="161"/>
      <c r="T53" s="161"/>
      <c r="U53" s="169">
        <v>45</v>
      </c>
      <c r="V53" s="117">
        <v>21</v>
      </c>
      <c r="W53" s="117">
        <v>22</v>
      </c>
      <c r="X53" s="117">
        <v>18</v>
      </c>
      <c r="Y53" s="117">
        <v>7</v>
      </c>
    </row>
    <row r="54" spans="1:26" ht="21" customHeight="1">
      <c r="A54" s="99" t="s">
        <v>218</v>
      </c>
      <c r="B54" s="99"/>
      <c r="C54" s="123">
        <f>30+31</f>
        <v>61</v>
      </c>
      <c r="D54" s="109">
        <f>25+17</f>
        <v>42</v>
      </c>
      <c r="E54" s="109">
        <f>25+20</f>
        <v>45</v>
      </c>
      <c r="F54" s="109">
        <f>7+6</f>
        <v>13</v>
      </c>
      <c r="G54" s="109">
        <f t="shared" si="19"/>
        <v>161</v>
      </c>
      <c r="H54" s="161"/>
      <c r="I54" s="161"/>
      <c r="J54" s="161">
        <f t="shared" si="20"/>
        <v>161</v>
      </c>
      <c r="K54" s="161"/>
      <c r="L54" s="177"/>
      <c r="M54" s="161"/>
      <c r="N54" s="161"/>
      <c r="O54" s="161"/>
      <c r="P54" s="161"/>
      <c r="Q54" s="161"/>
      <c r="R54" s="161"/>
      <c r="S54" s="161"/>
      <c r="T54" s="161"/>
      <c r="U54" s="169">
        <v>85</v>
      </c>
      <c r="V54" s="117">
        <v>52</v>
      </c>
      <c r="W54" s="117">
        <v>51</v>
      </c>
      <c r="X54" s="117">
        <v>53</v>
      </c>
      <c r="Y54" s="117">
        <v>15</v>
      </c>
    </row>
    <row r="55" spans="1:26" ht="21" customHeight="1">
      <c r="A55" s="99" t="s">
        <v>245</v>
      </c>
      <c r="B55" s="99"/>
      <c r="C55" s="123">
        <v>15</v>
      </c>
      <c r="D55" s="109">
        <v>26</v>
      </c>
      <c r="E55" s="109">
        <v>13</v>
      </c>
      <c r="F55" s="109">
        <v>2</v>
      </c>
      <c r="G55" s="109">
        <f t="shared" si="19"/>
        <v>56</v>
      </c>
      <c r="H55" s="161"/>
      <c r="I55" s="161"/>
      <c r="J55" s="161">
        <f t="shared" si="20"/>
        <v>56</v>
      </c>
      <c r="K55" s="161"/>
      <c r="L55" s="177"/>
      <c r="M55" s="161"/>
      <c r="N55" s="161"/>
      <c r="O55" s="161"/>
      <c r="P55" s="161"/>
      <c r="Q55" s="161"/>
      <c r="R55" s="161"/>
      <c r="S55" s="161"/>
      <c r="T55" s="161"/>
      <c r="U55" s="169">
        <v>36</v>
      </c>
      <c r="V55" s="117"/>
      <c r="W55" s="117"/>
      <c r="X55" s="117"/>
      <c r="Y55" s="117"/>
    </row>
    <row r="56" spans="1:26" ht="21" customHeight="1">
      <c r="A56" s="99" t="s">
        <v>176</v>
      </c>
      <c r="B56" s="99"/>
      <c r="C56" s="123">
        <v>21</v>
      </c>
      <c r="D56" s="109">
        <v>31</v>
      </c>
      <c r="E56" s="109"/>
      <c r="F56" s="109"/>
      <c r="G56" s="109">
        <f t="shared" si="19"/>
        <v>52</v>
      </c>
      <c r="H56" s="161"/>
      <c r="I56" s="161"/>
      <c r="J56" s="161">
        <f t="shared" si="20"/>
        <v>52</v>
      </c>
      <c r="K56" s="161"/>
      <c r="L56" s="177"/>
      <c r="M56" s="161"/>
      <c r="N56" s="161"/>
      <c r="O56" s="161"/>
      <c r="P56" s="161"/>
      <c r="Q56" s="161"/>
      <c r="R56" s="161"/>
      <c r="S56" s="161"/>
      <c r="T56" s="161"/>
      <c r="U56" s="169">
        <v>46</v>
      </c>
      <c r="V56" s="117"/>
      <c r="W56" s="117"/>
      <c r="X56" s="117"/>
      <c r="Y56" s="117"/>
    </row>
    <row r="57" spans="1:26" ht="21" customHeight="1">
      <c r="A57" s="99" t="s">
        <v>246</v>
      </c>
      <c r="B57" s="99"/>
      <c r="C57" s="123">
        <v>31</v>
      </c>
      <c r="D57" s="109">
        <v>20</v>
      </c>
      <c r="E57" s="109"/>
      <c r="F57" s="109"/>
      <c r="G57" s="109">
        <f t="shared" si="19"/>
        <v>51</v>
      </c>
      <c r="H57" s="161"/>
      <c r="I57" s="161"/>
      <c r="J57" s="161">
        <f t="shared" si="20"/>
        <v>51</v>
      </c>
      <c r="K57" s="161"/>
      <c r="L57" s="177"/>
      <c r="M57" s="161"/>
      <c r="N57" s="161"/>
      <c r="O57" s="161"/>
      <c r="P57" s="161"/>
      <c r="Q57" s="161"/>
      <c r="R57" s="161"/>
      <c r="S57" s="161"/>
      <c r="T57" s="161"/>
      <c r="U57" s="169">
        <v>44</v>
      </c>
      <c r="V57" s="117"/>
      <c r="W57" s="117"/>
      <c r="X57" s="117"/>
      <c r="Y57" s="117"/>
    </row>
    <row r="58" spans="1:26" ht="21" customHeight="1">
      <c r="A58" s="99" t="s">
        <v>247</v>
      </c>
      <c r="B58" s="99"/>
      <c r="C58" s="123">
        <v>29</v>
      </c>
      <c r="D58" s="109">
        <v>27</v>
      </c>
      <c r="E58" s="109"/>
      <c r="F58" s="109"/>
      <c r="G58" s="109">
        <f t="shared" si="19"/>
        <v>56</v>
      </c>
      <c r="H58" s="161"/>
      <c r="I58" s="161"/>
      <c r="J58" s="161">
        <f t="shared" si="20"/>
        <v>56</v>
      </c>
      <c r="K58" s="161"/>
      <c r="L58" s="177"/>
      <c r="M58" s="161">
        <f>G58+G59</f>
        <v>95</v>
      </c>
      <c r="N58" s="161"/>
      <c r="O58" s="161"/>
      <c r="P58" s="161"/>
      <c r="Q58" s="161"/>
      <c r="R58" s="161"/>
      <c r="S58" s="161"/>
      <c r="T58" s="161"/>
      <c r="U58" s="169"/>
      <c r="V58" s="117">
        <v>13</v>
      </c>
      <c r="W58" s="117">
        <v>12</v>
      </c>
      <c r="X58" s="117">
        <v>8</v>
      </c>
      <c r="Y58" s="117"/>
    </row>
    <row r="59" spans="1:26" ht="21" customHeight="1">
      <c r="A59" s="99" t="s">
        <v>248</v>
      </c>
      <c r="B59" s="99"/>
      <c r="C59" s="123">
        <v>17</v>
      </c>
      <c r="D59" s="109">
        <v>22</v>
      </c>
      <c r="E59" s="109"/>
      <c r="F59" s="109"/>
      <c r="G59" s="109">
        <f t="shared" si="19"/>
        <v>39</v>
      </c>
      <c r="H59" s="161"/>
      <c r="I59" s="161"/>
      <c r="J59" s="161">
        <f t="shared" si="20"/>
        <v>39</v>
      </c>
      <c r="K59" s="161"/>
      <c r="L59" s="177"/>
      <c r="M59" s="161"/>
      <c r="N59" s="161"/>
      <c r="O59" s="161"/>
      <c r="P59" s="161"/>
      <c r="Q59" s="161"/>
      <c r="R59" s="161"/>
      <c r="S59" s="161"/>
      <c r="T59" s="161"/>
      <c r="U59" s="169"/>
      <c r="V59" s="117">
        <v>13</v>
      </c>
      <c r="W59" s="117">
        <v>12</v>
      </c>
      <c r="X59" s="117">
        <v>8</v>
      </c>
      <c r="Y59" s="117"/>
    </row>
    <row r="60" spans="1:26" ht="21" customHeight="1">
      <c r="A60" s="99" t="s">
        <v>244</v>
      </c>
      <c r="B60" s="99"/>
      <c r="C60" s="123">
        <v>11</v>
      </c>
      <c r="D60" s="109">
        <v>19</v>
      </c>
      <c r="E60" s="109">
        <f>19+1</f>
        <v>20</v>
      </c>
      <c r="F60" s="109">
        <v>10</v>
      </c>
      <c r="G60" s="109">
        <f t="shared" si="19"/>
        <v>60</v>
      </c>
      <c r="H60" s="161"/>
      <c r="I60" s="161"/>
      <c r="J60" s="161">
        <f t="shared" si="20"/>
        <v>60</v>
      </c>
      <c r="K60" s="161"/>
      <c r="L60" s="177"/>
      <c r="M60" s="161"/>
      <c r="N60" s="161"/>
      <c r="O60" s="161"/>
      <c r="P60" s="161"/>
      <c r="Q60" s="161"/>
      <c r="R60" s="161"/>
      <c r="S60" s="161"/>
      <c r="T60" s="161"/>
      <c r="U60" s="169">
        <v>32</v>
      </c>
      <c r="V60" s="117">
        <v>21</v>
      </c>
      <c r="W60" s="117">
        <v>17</v>
      </c>
      <c r="X60" s="117">
        <v>22</v>
      </c>
      <c r="Y60" s="117">
        <v>4</v>
      </c>
    </row>
    <row r="61" spans="1:26" ht="21" customHeight="1">
      <c r="A61" s="259" t="s">
        <v>37</v>
      </c>
      <c r="B61" s="259"/>
      <c r="C61" s="260"/>
      <c r="D61" s="114"/>
      <c r="E61" s="114">
        <v>13</v>
      </c>
      <c r="F61" s="114">
        <v>14</v>
      </c>
      <c r="G61" s="114">
        <f t="shared" si="19"/>
        <v>27</v>
      </c>
      <c r="H61" s="161"/>
      <c r="I61" s="161"/>
      <c r="J61" s="161">
        <f t="shared" si="20"/>
        <v>27</v>
      </c>
      <c r="K61" s="161"/>
      <c r="L61" s="177"/>
      <c r="M61" s="161"/>
      <c r="N61" s="161"/>
      <c r="O61" s="161"/>
      <c r="P61" s="161"/>
      <c r="Q61" s="161"/>
      <c r="R61" s="161"/>
      <c r="S61" s="161"/>
      <c r="T61" s="161"/>
      <c r="U61" s="169">
        <v>48</v>
      </c>
      <c r="V61" s="117">
        <v>26</v>
      </c>
      <c r="W61" s="117">
        <v>36</v>
      </c>
      <c r="X61" s="117">
        <v>37</v>
      </c>
      <c r="Y61" s="117">
        <v>21</v>
      </c>
    </row>
    <row r="62" spans="1:26" ht="21" customHeight="1">
      <c r="A62" s="102" t="s">
        <v>217</v>
      </c>
      <c r="B62" s="110">
        <f t="shared" ref="B62:G62" si="21">SUM(B52:B61)</f>
        <v>0</v>
      </c>
      <c r="C62" s="110">
        <f t="shared" si="21"/>
        <v>201</v>
      </c>
      <c r="D62" s="110">
        <f t="shared" si="21"/>
        <v>213</v>
      </c>
      <c r="E62" s="110">
        <f>SUM(E52:E61)</f>
        <v>128</v>
      </c>
      <c r="F62" s="110">
        <f t="shared" si="21"/>
        <v>50</v>
      </c>
      <c r="G62" s="110">
        <f t="shared" si="21"/>
        <v>592</v>
      </c>
      <c r="H62" s="162"/>
      <c r="I62" s="162"/>
      <c r="J62" s="162"/>
      <c r="K62" s="162"/>
      <c r="L62" s="178"/>
      <c r="M62" s="162"/>
      <c r="N62" s="162"/>
      <c r="O62" s="162"/>
      <c r="P62" s="162"/>
      <c r="Q62" s="162"/>
      <c r="R62" s="162"/>
      <c r="S62" s="162"/>
      <c r="T62" s="162"/>
      <c r="U62" s="169">
        <f>SUM(U52:U61)</f>
        <v>375</v>
      </c>
      <c r="V62" s="117">
        <f>SUM(V52:V61)</f>
        <v>172</v>
      </c>
      <c r="W62" s="117">
        <f>SUM(W52:W61)</f>
        <v>185</v>
      </c>
      <c r="X62" s="117">
        <f>SUM(X52:X61)</f>
        <v>161</v>
      </c>
      <c r="Y62" s="117">
        <f>SUM(Y52:Y61)</f>
        <v>51</v>
      </c>
      <c r="Z62" s="169"/>
    </row>
    <row r="63" spans="1:26" ht="21" customHeight="1">
      <c r="A63" s="99" t="s">
        <v>78</v>
      </c>
      <c r="B63" s="99"/>
      <c r="C63" s="109"/>
      <c r="D63" s="109"/>
      <c r="E63" s="109"/>
      <c r="F63" s="109"/>
      <c r="G63" s="109">
        <f t="shared" ref="G63:G72" si="22">SUM(B63:F63)</f>
        <v>0</v>
      </c>
      <c r="H63" s="161"/>
      <c r="I63" s="161"/>
      <c r="J63" s="161">
        <f t="shared" ref="J63:J72" si="23">SUM(C63:F63)</f>
        <v>0</v>
      </c>
      <c r="K63" s="161"/>
      <c r="L63" s="177"/>
      <c r="M63" s="161"/>
      <c r="N63" s="161"/>
      <c r="O63" s="161"/>
      <c r="P63" s="161"/>
      <c r="Q63" s="161"/>
      <c r="R63" s="161"/>
      <c r="S63" s="161"/>
      <c r="T63" s="161"/>
      <c r="U63" s="169">
        <v>33</v>
      </c>
      <c r="V63" s="117">
        <v>26</v>
      </c>
      <c r="W63" s="117">
        <v>4</v>
      </c>
      <c r="X63" s="117"/>
      <c r="Y63" s="117">
        <v>1</v>
      </c>
    </row>
    <row r="64" spans="1:26" ht="21" customHeight="1">
      <c r="A64" s="100" t="s">
        <v>121</v>
      </c>
      <c r="B64" s="100"/>
      <c r="C64" s="124"/>
      <c r="D64" s="108"/>
      <c r="E64" s="108"/>
      <c r="F64" s="108"/>
      <c r="G64" s="108">
        <f t="shared" si="22"/>
        <v>0</v>
      </c>
      <c r="H64" s="161"/>
      <c r="I64" s="161"/>
      <c r="J64" s="161">
        <f t="shared" si="23"/>
        <v>0</v>
      </c>
      <c r="K64" s="161"/>
      <c r="L64" s="177"/>
      <c r="M64" s="161"/>
      <c r="N64" s="161"/>
      <c r="O64" s="161"/>
      <c r="P64" s="161"/>
      <c r="Q64" s="161"/>
      <c r="R64" s="161"/>
      <c r="S64" s="161"/>
      <c r="T64" s="161"/>
      <c r="U64" s="169"/>
      <c r="V64" s="117"/>
      <c r="W64" s="117"/>
      <c r="X64" s="117"/>
      <c r="Y64" s="117"/>
    </row>
    <row r="65" spans="1:25" ht="21" customHeight="1">
      <c r="A65" s="100" t="s">
        <v>249</v>
      </c>
      <c r="B65" s="100"/>
      <c r="C65" s="124">
        <v>8</v>
      </c>
      <c r="D65" s="108"/>
      <c r="E65" s="108"/>
      <c r="F65" s="108"/>
      <c r="G65" s="108">
        <f t="shared" si="22"/>
        <v>8</v>
      </c>
      <c r="H65" s="161"/>
      <c r="I65" s="161"/>
      <c r="J65" s="161">
        <f t="shared" si="23"/>
        <v>8</v>
      </c>
      <c r="K65" s="161"/>
      <c r="L65" s="177"/>
      <c r="M65" s="161"/>
      <c r="N65" s="161"/>
      <c r="O65" s="161"/>
      <c r="P65" s="161"/>
      <c r="Q65" s="161"/>
      <c r="R65" s="161"/>
      <c r="S65" s="161"/>
      <c r="T65" s="161"/>
      <c r="U65" s="169"/>
      <c r="V65" s="117"/>
      <c r="W65" s="117"/>
      <c r="X65" s="117"/>
      <c r="Y65" s="117"/>
    </row>
    <row r="66" spans="1:25" ht="21" customHeight="1">
      <c r="A66" s="99" t="s">
        <v>248</v>
      </c>
      <c r="B66" s="99"/>
      <c r="C66" s="123">
        <v>8</v>
      </c>
      <c r="D66" s="109">
        <v>9</v>
      </c>
      <c r="E66" s="109"/>
      <c r="F66" s="109"/>
      <c r="G66" s="108">
        <f t="shared" si="22"/>
        <v>17</v>
      </c>
      <c r="H66" s="161"/>
      <c r="I66" s="161"/>
      <c r="J66" s="161">
        <f t="shared" si="23"/>
        <v>17</v>
      </c>
      <c r="K66" s="161"/>
      <c r="L66" s="177"/>
      <c r="M66" s="161"/>
      <c r="N66" s="161"/>
      <c r="O66" s="161"/>
      <c r="P66" s="161"/>
      <c r="Q66" s="161"/>
      <c r="R66" s="161"/>
      <c r="S66" s="161"/>
      <c r="T66" s="161"/>
      <c r="U66" s="169"/>
      <c r="V66" s="117">
        <v>13</v>
      </c>
      <c r="W66" s="117">
        <v>12</v>
      </c>
      <c r="X66" s="117">
        <v>8</v>
      </c>
      <c r="Y66" s="117"/>
    </row>
    <row r="67" spans="1:25" ht="21" customHeight="1">
      <c r="A67" s="99" t="s">
        <v>247</v>
      </c>
      <c r="B67" s="99"/>
      <c r="C67" s="123">
        <v>28</v>
      </c>
      <c r="D67" s="109">
        <v>1</v>
      </c>
      <c r="E67" s="109"/>
      <c r="F67" s="109"/>
      <c r="G67" s="108">
        <f t="shared" si="22"/>
        <v>29</v>
      </c>
      <c r="H67" s="161"/>
      <c r="I67" s="161"/>
      <c r="J67" s="161">
        <f t="shared" si="23"/>
        <v>29</v>
      </c>
      <c r="K67" s="161"/>
      <c r="L67" s="177"/>
      <c r="M67" s="161"/>
      <c r="N67" s="161"/>
      <c r="O67" s="161"/>
      <c r="P67" s="161"/>
      <c r="Q67" s="161"/>
      <c r="R67" s="161"/>
      <c r="S67" s="161"/>
      <c r="T67" s="161"/>
      <c r="U67" s="169"/>
      <c r="V67" s="117">
        <v>13</v>
      </c>
      <c r="W67" s="117">
        <v>12</v>
      </c>
      <c r="X67" s="117">
        <v>8</v>
      </c>
      <c r="Y67" s="117"/>
    </row>
    <row r="68" spans="1:25" ht="21" customHeight="1">
      <c r="A68" s="99" t="s">
        <v>246</v>
      </c>
      <c r="B68" s="99"/>
      <c r="C68" s="123">
        <v>31</v>
      </c>
      <c r="D68" s="109">
        <v>14</v>
      </c>
      <c r="E68" s="109"/>
      <c r="F68" s="109"/>
      <c r="G68" s="108">
        <f t="shared" si="22"/>
        <v>45</v>
      </c>
      <c r="H68" s="161"/>
      <c r="I68" s="161"/>
      <c r="J68" s="161">
        <f t="shared" si="23"/>
        <v>45</v>
      </c>
      <c r="K68" s="161"/>
      <c r="L68" s="177"/>
      <c r="M68" s="161"/>
      <c r="N68" s="161"/>
      <c r="O68" s="161"/>
      <c r="P68" s="161"/>
      <c r="Q68" s="161"/>
      <c r="R68" s="161"/>
      <c r="S68" s="161"/>
      <c r="T68" s="161"/>
      <c r="U68" s="169">
        <v>25</v>
      </c>
      <c r="V68" s="117"/>
      <c r="W68" s="117"/>
      <c r="X68" s="117"/>
      <c r="Y68" s="117"/>
    </row>
    <row r="69" spans="1:25" ht="21" customHeight="1">
      <c r="A69" s="100" t="s">
        <v>100</v>
      </c>
      <c r="B69" s="100"/>
      <c r="C69" s="124"/>
      <c r="D69" s="108"/>
      <c r="E69" s="108"/>
      <c r="F69" s="108"/>
      <c r="G69" s="108">
        <f t="shared" si="22"/>
        <v>0</v>
      </c>
      <c r="H69" s="161"/>
      <c r="I69" s="161"/>
      <c r="J69" s="161">
        <f t="shared" si="23"/>
        <v>0</v>
      </c>
      <c r="K69" s="161"/>
      <c r="L69" s="177"/>
      <c r="M69" s="161"/>
      <c r="N69" s="161"/>
      <c r="O69" s="161"/>
      <c r="P69" s="161"/>
      <c r="Q69" s="161"/>
      <c r="R69" s="161"/>
      <c r="S69" s="161"/>
      <c r="T69" s="161"/>
      <c r="U69" s="169"/>
      <c r="V69" s="117">
        <v>18</v>
      </c>
      <c r="W69" s="117">
        <v>11</v>
      </c>
      <c r="X69" s="117"/>
      <c r="Y69" s="117"/>
    </row>
    <row r="70" spans="1:25" ht="21" customHeight="1">
      <c r="A70" s="100" t="s">
        <v>153</v>
      </c>
      <c r="B70" s="100"/>
      <c r="C70" s="124"/>
      <c r="D70" s="108"/>
      <c r="E70" s="108"/>
      <c r="F70" s="108"/>
      <c r="G70" s="108">
        <f t="shared" si="22"/>
        <v>0</v>
      </c>
      <c r="H70" s="161"/>
      <c r="I70" s="161"/>
      <c r="J70" s="161">
        <f t="shared" si="23"/>
        <v>0</v>
      </c>
      <c r="K70" s="161"/>
      <c r="L70" s="177"/>
      <c r="M70" s="161"/>
      <c r="N70" s="161"/>
      <c r="O70" s="161"/>
      <c r="P70" s="161"/>
      <c r="Q70" s="161"/>
      <c r="R70" s="161"/>
      <c r="S70" s="161"/>
      <c r="T70" s="161"/>
      <c r="U70" s="169">
        <v>40</v>
      </c>
      <c r="V70" s="117">
        <v>39</v>
      </c>
      <c r="W70" s="117">
        <v>42</v>
      </c>
      <c r="X70" s="117">
        <v>1</v>
      </c>
      <c r="Y70" s="117"/>
    </row>
    <row r="71" spans="1:25" ht="21" customHeight="1">
      <c r="A71" s="100" t="s">
        <v>250</v>
      </c>
      <c r="B71" s="100"/>
      <c r="C71" s="124">
        <v>10</v>
      </c>
      <c r="D71" s="108">
        <v>2</v>
      </c>
      <c r="E71" s="108"/>
      <c r="F71" s="108"/>
      <c r="G71" s="108">
        <f t="shared" si="22"/>
        <v>12</v>
      </c>
      <c r="H71" s="161"/>
      <c r="I71" s="161"/>
      <c r="J71" s="161">
        <f t="shared" si="23"/>
        <v>12</v>
      </c>
      <c r="K71" s="161"/>
      <c r="L71" s="177"/>
      <c r="M71" s="161"/>
      <c r="N71" s="161"/>
      <c r="O71" s="161"/>
      <c r="P71" s="161"/>
      <c r="Q71" s="161"/>
      <c r="R71" s="161"/>
      <c r="S71" s="161"/>
      <c r="T71" s="161"/>
      <c r="U71" s="169">
        <v>21</v>
      </c>
      <c r="V71" s="117">
        <v>33</v>
      </c>
      <c r="W71" s="117">
        <v>16</v>
      </c>
      <c r="X71" s="117">
        <v>2</v>
      </c>
      <c r="Y71" s="117"/>
    </row>
    <row r="72" spans="1:25" ht="21" customHeight="1">
      <c r="A72" s="103" t="s">
        <v>111</v>
      </c>
      <c r="B72" s="103"/>
      <c r="C72" s="125"/>
      <c r="D72" s="111"/>
      <c r="E72" s="111"/>
      <c r="F72" s="111"/>
      <c r="G72" s="111">
        <f t="shared" si="22"/>
        <v>0</v>
      </c>
      <c r="H72" s="161"/>
      <c r="I72" s="161"/>
      <c r="J72" s="161">
        <f t="shared" si="23"/>
        <v>0</v>
      </c>
      <c r="K72" s="161"/>
      <c r="L72" s="177"/>
      <c r="M72" s="161"/>
      <c r="N72" s="161"/>
      <c r="O72" s="161"/>
      <c r="P72" s="161"/>
      <c r="Q72" s="161"/>
      <c r="R72" s="161"/>
      <c r="S72" s="161"/>
      <c r="T72" s="161"/>
      <c r="U72" s="169"/>
      <c r="V72" s="117">
        <v>15</v>
      </c>
      <c r="W72" s="117">
        <v>2</v>
      </c>
      <c r="X72" s="117"/>
      <c r="Y72" s="117"/>
    </row>
    <row r="73" spans="1:25" ht="21" customHeight="1">
      <c r="A73" s="95" t="s">
        <v>219</v>
      </c>
      <c r="B73" s="106">
        <f t="shared" ref="B73:G73" si="24">SUM(B63:B72)</f>
        <v>0</v>
      </c>
      <c r="C73" s="106">
        <f t="shared" si="24"/>
        <v>85</v>
      </c>
      <c r="D73" s="106">
        <f t="shared" si="24"/>
        <v>26</v>
      </c>
      <c r="E73" s="106">
        <f t="shared" si="24"/>
        <v>0</v>
      </c>
      <c r="F73" s="106">
        <f t="shared" si="24"/>
        <v>0</v>
      </c>
      <c r="G73" s="106">
        <f t="shared" si="24"/>
        <v>111</v>
      </c>
      <c r="H73" s="160"/>
      <c r="I73" s="160"/>
      <c r="J73" s="160"/>
      <c r="K73" s="160"/>
      <c r="L73" s="176"/>
      <c r="M73" s="160"/>
      <c r="N73" s="160"/>
      <c r="O73" s="160"/>
      <c r="P73" s="160"/>
      <c r="Q73" s="160"/>
      <c r="R73" s="160"/>
      <c r="S73" s="160"/>
      <c r="T73" s="160"/>
      <c r="U73" s="170">
        <f>SUM(U63:U72)</f>
        <v>119</v>
      </c>
      <c r="V73" s="117">
        <f>SUM(V63:V72)</f>
        <v>157</v>
      </c>
      <c r="W73" s="117">
        <f>SUM(W63:W72)</f>
        <v>99</v>
      </c>
      <c r="X73" s="117">
        <f>SUM(X63:X72)</f>
        <v>19</v>
      </c>
      <c r="Y73" s="117">
        <f>SUM(Y63:Y72)</f>
        <v>1</v>
      </c>
    </row>
    <row r="74" spans="1:25" ht="21" customHeight="1">
      <c r="A74" s="99" t="s">
        <v>48</v>
      </c>
      <c r="B74" s="99"/>
      <c r="C74" s="123"/>
      <c r="D74" s="109"/>
      <c r="E74" s="109"/>
      <c r="F74" s="109"/>
      <c r="G74" s="109"/>
      <c r="H74" s="161"/>
      <c r="I74" s="161"/>
      <c r="J74" s="161"/>
      <c r="K74" s="161"/>
      <c r="L74" s="177"/>
      <c r="M74" s="161"/>
      <c r="N74" s="161"/>
      <c r="O74" s="161"/>
      <c r="P74" s="161"/>
      <c r="Q74" s="161"/>
      <c r="R74" s="161"/>
      <c r="S74" s="161"/>
      <c r="T74" s="161"/>
    </row>
    <row r="75" spans="1:25" ht="21" customHeight="1">
      <c r="A75" s="100" t="s">
        <v>109</v>
      </c>
      <c r="B75" s="100"/>
      <c r="C75" s="124"/>
      <c r="D75" s="108"/>
      <c r="E75" s="108">
        <v>3</v>
      </c>
      <c r="F75" s="108"/>
      <c r="G75" s="108">
        <f>SUM(B75:F75)</f>
        <v>3</v>
      </c>
      <c r="H75" s="161"/>
      <c r="I75" s="161"/>
      <c r="J75" s="161"/>
      <c r="K75" s="161"/>
      <c r="L75" s="177"/>
      <c r="M75" s="161"/>
      <c r="N75" s="161"/>
      <c r="O75" s="161"/>
      <c r="P75" s="161"/>
      <c r="Q75" s="161"/>
      <c r="R75" s="161"/>
      <c r="S75" s="161"/>
      <c r="T75" s="161"/>
    </row>
    <row r="76" spans="1:25" ht="21" customHeight="1">
      <c r="A76" s="103"/>
      <c r="B76" s="103"/>
      <c r="C76" s="125"/>
      <c r="D76" s="111"/>
      <c r="E76" s="111"/>
      <c r="F76" s="111"/>
      <c r="G76" s="111"/>
      <c r="H76" s="161"/>
      <c r="I76" s="161"/>
      <c r="J76" s="161"/>
      <c r="K76" s="161"/>
      <c r="L76" s="177"/>
      <c r="M76" s="161"/>
      <c r="N76" s="161"/>
      <c r="O76" s="161"/>
      <c r="P76" s="161"/>
      <c r="Q76" s="161"/>
      <c r="R76" s="161"/>
      <c r="S76" s="161"/>
      <c r="T76" s="161"/>
    </row>
    <row r="77" spans="1:25" ht="21" customHeight="1">
      <c r="A77" s="95" t="s">
        <v>3</v>
      </c>
      <c r="B77" s="106">
        <f t="shared" ref="B77:G77" si="25">SUM(B75:B76)</f>
        <v>0</v>
      </c>
      <c r="C77" s="106">
        <f t="shared" si="25"/>
        <v>0</v>
      </c>
      <c r="D77" s="106">
        <f t="shared" si="25"/>
        <v>0</v>
      </c>
      <c r="E77" s="106">
        <f t="shared" si="25"/>
        <v>3</v>
      </c>
      <c r="F77" s="106">
        <f t="shared" si="25"/>
        <v>0</v>
      </c>
      <c r="G77" s="106">
        <f t="shared" si="25"/>
        <v>3</v>
      </c>
      <c r="H77" s="160"/>
      <c r="I77" s="160"/>
      <c r="J77" s="160"/>
      <c r="K77" s="160"/>
      <c r="L77" s="176"/>
      <c r="M77" s="160"/>
      <c r="N77" s="160"/>
      <c r="O77" s="160"/>
      <c r="P77" s="160"/>
      <c r="Q77" s="160"/>
      <c r="R77" s="160"/>
      <c r="S77" s="160"/>
      <c r="T77" s="160"/>
    </row>
    <row r="78" spans="1:25" ht="21" customHeight="1">
      <c r="A78" s="101" t="s">
        <v>16</v>
      </c>
      <c r="B78" s="110">
        <f t="shared" ref="B78:G78" si="26">SUM(B79:B96)</f>
        <v>0</v>
      </c>
      <c r="C78" s="110">
        <f t="shared" si="26"/>
        <v>188</v>
      </c>
      <c r="D78" s="110">
        <f t="shared" si="26"/>
        <v>160</v>
      </c>
      <c r="E78" s="110">
        <f t="shared" si="26"/>
        <v>111</v>
      </c>
      <c r="F78" s="110">
        <f t="shared" si="26"/>
        <v>66</v>
      </c>
      <c r="G78" s="110">
        <f t="shared" si="26"/>
        <v>525</v>
      </c>
      <c r="H78" s="162"/>
      <c r="I78" s="162"/>
      <c r="J78" s="162"/>
      <c r="K78" s="162">
        <f>136+113+168+271</f>
        <v>688</v>
      </c>
      <c r="L78" s="178"/>
      <c r="M78" s="162"/>
      <c r="N78" s="162"/>
      <c r="O78" s="162"/>
      <c r="P78" s="162"/>
      <c r="Q78" s="162"/>
      <c r="R78" s="162"/>
      <c r="S78" s="162"/>
      <c r="T78" s="162"/>
      <c r="W78" s="117">
        <f>G78</f>
        <v>525</v>
      </c>
    </row>
    <row r="79" spans="1:25" ht="21" customHeight="1">
      <c r="A79" s="99" t="s">
        <v>17</v>
      </c>
      <c r="B79" s="99"/>
      <c r="C79" s="123">
        <f>41+42</f>
        <v>83</v>
      </c>
      <c r="D79" s="109">
        <f>40+35</f>
        <v>75</v>
      </c>
      <c r="E79" s="109">
        <f>62</f>
        <v>62</v>
      </c>
      <c r="F79" s="109">
        <f>25+9</f>
        <v>34</v>
      </c>
      <c r="G79" s="109">
        <f>SUM(B79:F86)</f>
        <v>254</v>
      </c>
      <c r="H79" s="161"/>
      <c r="I79" s="161"/>
      <c r="J79" s="161">
        <f t="shared" ref="J79:J110" si="27">SUM(C79:F79)</f>
        <v>254</v>
      </c>
      <c r="K79" s="161"/>
      <c r="L79" s="177"/>
      <c r="M79" s="161"/>
      <c r="N79" s="161"/>
      <c r="O79" s="161"/>
      <c r="P79" s="161"/>
      <c r="Q79" s="161"/>
      <c r="R79" s="161"/>
      <c r="S79" s="161"/>
      <c r="T79" s="161"/>
      <c r="U79" s="169">
        <v>119</v>
      </c>
      <c r="V79" s="117">
        <v>65</v>
      </c>
      <c r="W79" s="117">
        <v>88</v>
      </c>
      <c r="X79" s="117">
        <v>36</v>
      </c>
      <c r="Y79" s="117">
        <v>3</v>
      </c>
    </row>
    <row r="80" spans="1:25" ht="21" hidden="1" customHeight="1">
      <c r="A80" s="100" t="s">
        <v>101</v>
      </c>
      <c r="B80" s="100"/>
      <c r="C80" s="124"/>
      <c r="D80" s="108"/>
      <c r="E80" s="108"/>
      <c r="F80" s="108"/>
      <c r="G80" s="108"/>
      <c r="H80" s="161"/>
      <c r="I80" s="161"/>
      <c r="J80" s="161">
        <f t="shared" si="27"/>
        <v>0</v>
      </c>
      <c r="K80" s="161"/>
      <c r="L80" s="177"/>
      <c r="M80" s="161"/>
      <c r="N80" s="161"/>
      <c r="O80" s="161"/>
      <c r="P80" s="161"/>
      <c r="Q80" s="161"/>
      <c r="R80" s="161"/>
      <c r="S80" s="161"/>
      <c r="T80" s="161"/>
      <c r="U80" s="169"/>
      <c r="V80" s="117"/>
      <c r="W80" s="117"/>
      <c r="X80" s="117"/>
      <c r="Y80" s="117"/>
    </row>
    <row r="81" spans="1:25" ht="21" hidden="1" customHeight="1">
      <c r="A81" s="100" t="s">
        <v>102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7"/>
        <v>0</v>
      </c>
      <c r="K81" s="161"/>
      <c r="L81" s="177"/>
      <c r="M81" s="161"/>
      <c r="N81" s="161"/>
      <c r="O81" s="161"/>
      <c r="P81" s="161"/>
      <c r="Q81" s="161"/>
      <c r="R81" s="161"/>
      <c r="S81" s="161"/>
      <c r="T81" s="161"/>
      <c r="U81" s="169"/>
      <c r="V81" s="117"/>
      <c r="W81" s="117"/>
      <c r="X81" s="117"/>
      <c r="Y81" s="117"/>
    </row>
    <row r="82" spans="1:25" ht="21" hidden="1" customHeight="1">
      <c r="A82" s="100" t="s">
        <v>103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7"/>
        <v>0</v>
      </c>
      <c r="K82" s="161"/>
      <c r="L82" s="177"/>
      <c r="M82" s="161"/>
      <c r="N82" s="161"/>
      <c r="O82" s="161"/>
      <c r="P82" s="161"/>
      <c r="Q82" s="161"/>
      <c r="R82" s="161"/>
      <c r="S82" s="161"/>
      <c r="T82" s="161"/>
      <c r="U82" s="169"/>
      <c r="V82" s="117"/>
      <c r="W82" s="117"/>
      <c r="X82" s="117"/>
      <c r="Y82" s="117"/>
    </row>
    <row r="83" spans="1:25" ht="21" hidden="1" customHeight="1">
      <c r="A83" s="100" t="s">
        <v>104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7"/>
        <v>0</v>
      </c>
      <c r="K83" s="161"/>
      <c r="L83" s="177"/>
      <c r="M83" s="161"/>
      <c r="N83" s="161"/>
      <c r="O83" s="161"/>
      <c r="P83" s="161"/>
      <c r="Q83" s="161"/>
      <c r="R83" s="161"/>
      <c r="S83" s="161"/>
      <c r="T83" s="161"/>
      <c r="U83" s="169"/>
      <c r="V83" s="117"/>
      <c r="W83" s="117"/>
      <c r="X83" s="117"/>
      <c r="Y83" s="117"/>
    </row>
    <row r="84" spans="1:25" ht="21" hidden="1" customHeight="1">
      <c r="A84" s="100" t="s">
        <v>105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7"/>
        <v>0</v>
      </c>
      <c r="K84" s="161"/>
      <c r="L84" s="177"/>
      <c r="M84" s="161"/>
      <c r="N84" s="161"/>
      <c r="O84" s="161"/>
      <c r="P84" s="161"/>
      <c r="Q84" s="161"/>
      <c r="R84" s="161"/>
      <c r="S84" s="161"/>
      <c r="T84" s="161"/>
      <c r="U84" s="169"/>
      <c r="V84" s="117"/>
      <c r="W84" s="117"/>
      <c r="X84" s="117"/>
      <c r="Y84" s="117"/>
    </row>
    <row r="85" spans="1:25" ht="21" hidden="1" customHeight="1">
      <c r="A85" s="100" t="s">
        <v>119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7"/>
        <v>0</v>
      </c>
      <c r="K85" s="161"/>
      <c r="L85" s="177"/>
      <c r="M85" s="161"/>
      <c r="N85" s="161"/>
      <c r="O85" s="161"/>
      <c r="P85" s="161"/>
      <c r="Q85" s="161"/>
      <c r="R85" s="161"/>
      <c r="S85" s="161"/>
      <c r="T85" s="161"/>
      <c r="U85" s="169"/>
      <c r="V85" s="117"/>
      <c r="W85" s="117"/>
      <c r="X85" s="117"/>
      <c r="Y85" s="117"/>
    </row>
    <row r="86" spans="1:25" ht="21" hidden="1" customHeight="1">
      <c r="A86" s="100" t="s">
        <v>89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7"/>
        <v>0</v>
      </c>
      <c r="K86" s="161"/>
      <c r="L86" s="177"/>
      <c r="M86" s="161"/>
      <c r="N86" s="161"/>
      <c r="O86" s="161"/>
      <c r="P86" s="161"/>
      <c r="Q86" s="161"/>
      <c r="R86" s="161"/>
      <c r="S86" s="161"/>
      <c r="T86" s="161"/>
      <c r="U86" s="169"/>
      <c r="V86" s="117"/>
      <c r="W86" s="117"/>
      <c r="X86" s="117"/>
      <c r="Y86" s="117"/>
    </row>
    <row r="87" spans="1:25" ht="21" hidden="1" customHeight="1">
      <c r="A87" s="308" t="s">
        <v>271</v>
      </c>
      <c r="B87" s="100"/>
      <c r="C87" s="124"/>
      <c r="D87" s="108"/>
      <c r="E87" s="108"/>
      <c r="F87" s="108"/>
      <c r="G87" s="108">
        <f t="shared" ref="G87:G94" si="28">SUM(B87:F87)</f>
        <v>0</v>
      </c>
      <c r="H87" s="161"/>
      <c r="I87" s="161"/>
      <c r="J87" s="161">
        <f t="shared" si="27"/>
        <v>0</v>
      </c>
      <c r="K87" s="161"/>
      <c r="L87" s="177"/>
      <c r="M87" s="161"/>
      <c r="N87" s="161"/>
      <c r="O87" s="161"/>
      <c r="P87" s="161"/>
      <c r="Q87" s="161"/>
      <c r="R87" s="161"/>
      <c r="S87" s="161"/>
      <c r="T87" s="161"/>
      <c r="U87" s="169"/>
      <c r="V87" s="117"/>
      <c r="W87" s="117"/>
      <c r="X87" s="117"/>
      <c r="Y87" s="117"/>
    </row>
    <row r="88" spans="1:25" ht="21" hidden="1" customHeight="1">
      <c r="A88" s="308" t="s">
        <v>272</v>
      </c>
      <c r="B88" s="100"/>
      <c r="C88" s="124"/>
      <c r="D88" s="108"/>
      <c r="E88" s="108"/>
      <c r="F88" s="108"/>
      <c r="G88" s="108">
        <f t="shared" si="28"/>
        <v>0</v>
      </c>
      <c r="H88" s="161"/>
      <c r="I88" s="161"/>
      <c r="J88" s="161">
        <f t="shared" si="27"/>
        <v>0</v>
      </c>
      <c r="K88" s="161"/>
      <c r="L88" s="177"/>
      <c r="M88" s="161"/>
      <c r="N88" s="161"/>
      <c r="O88" s="161"/>
      <c r="P88" s="161"/>
      <c r="Q88" s="161"/>
      <c r="R88" s="161"/>
      <c r="S88" s="161"/>
      <c r="T88" s="161"/>
      <c r="U88" s="169"/>
      <c r="V88" s="117"/>
      <c r="W88" s="117"/>
      <c r="X88" s="117"/>
      <c r="Y88" s="117"/>
    </row>
    <row r="89" spans="1:25" ht="21" hidden="1" customHeight="1">
      <c r="A89" s="308" t="s">
        <v>273</v>
      </c>
      <c r="B89" s="100"/>
      <c r="C89" s="124"/>
      <c r="D89" s="108"/>
      <c r="E89" s="108"/>
      <c r="F89" s="108"/>
      <c r="G89" s="108">
        <f t="shared" si="28"/>
        <v>0</v>
      </c>
      <c r="H89" s="161"/>
      <c r="I89" s="161"/>
      <c r="J89" s="161">
        <f t="shared" si="27"/>
        <v>0</v>
      </c>
      <c r="K89" s="161"/>
      <c r="L89" s="177"/>
      <c r="M89" s="161"/>
      <c r="N89" s="161"/>
      <c r="O89" s="161"/>
      <c r="P89" s="161"/>
      <c r="Q89" s="161"/>
      <c r="R89" s="161"/>
      <c r="S89" s="161"/>
      <c r="T89" s="161"/>
      <c r="U89" s="169"/>
      <c r="V89" s="117"/>
      <c r="W89" s="117"/>
      <c r="X89" s="117"/>
      <c r="Y89" s="117"/>
    </row>
    <row r="90" spans="1:25" ht="21" hidden="1" customHeight="1">
      <c r="A90" s="308" t="s">
        <v>274</v>
      </c>
      <c r="B90" s="100"/>
      <c r="C90" s="124"/>
      <c r="D90" s="108"/>
      <c r="E90" s="108"/>
      <c r="F90" s="108"/>
      <c r="G90" s="108">
        <f t="shared" si="28"/>
        <v>0</v>
      </c>
      <c r="H90" s="161"/>
      <c r="I90" s="161"/>
      <c r="J90" s="161">
        <f t="shared" si="27"/>
        <v>0</v>
      </c>
      <c r="K90" s="161"/>
      <c r="L90" s="177"/>
      <c r="M90" s="161"/>
      <c r="N90" s="161"/>
      <c r="O90" s="161"/>
      <c r="P90" s="161"/>
      <c r="Q90" s="161"/>
      <c r="R90" s="161"/>
      <c r="S90" s="161"/>
      <c r="T90" s="161"/>
      <c r="U90" s="169"/>
      <c r="V90" s="117"/>
      <c r="W90" s="117"/>
      <c r="X90" s="117"/>
      <c r="Y90" s="117"/>
    </row>
    <row r="91" spans="1:25" ht="21" customHeight="1">
      <c r="A91" s="100" t="s">
        <v>38</v>
      </c>
      <c r="B91" s="100"/>
      <c r="C91" s="124">
        <f>14+37</f>
        <v>51</v>
      </c>
      <c r="D91" s="108">
        <f>22</f>
        <v>22</v>
      </c>
      <c r="E91" s="108">
        <v>16</v>
      </c>
      <c r="F91" s="108">
        <v>28</v>
      </c>
      <c r="G91" s="108">
        <f t="shared" si="28"/>
        <v>117</v>
      </c>
      <c r="H91" s="161"/>
      <c r="I91" s="161"/>
      <c r="J91" s="161">
        <f t="shared" si="27"/>
        <v>117</v>
      </c>
      <c r="K91" s="161"/>
      <c r="L91" s="177"/>
      <c r="M91" s="161"/>
      <c r="N91" s="161"/>
      <c r="O91" s="161"/>
      <c r="P91" s="161"/>
      <c r="Q91" s="161"/>
      <c r="R91" s="161"/>
      <c r="S91" s="161"/>
      <c r="T91" s="161"/>
      <c r="U91" s="169">
        <v>38</v>
      </c>
      <c r="V91" s="117">
        <v>18</v>
      </c>
      <c r="W91" s="117">
        <v>26</v>
      </c>
      <c r="X91" s="117">
        <v>32</v>
      </c>
      <c r="Y91" s="117">
        <v>2</v>
      </c>
    </row>
    <row r="92" spans="1:25" ht="21" customHeight="1">
      <c r="A92" s="103" t="s">
        <v>18</v>
      </c>
      <c r="B92" s="103"/>
      <c r="C92" s="125">
        <v>40</v>
      </c>
      <c r="D92" s="111">
        <v>42</v>
      </c>
      <c r="E92" s="111">
        <v>33</v>
      </c>
      <c r="F92" s="111">
        <v>4</v>
      </c>
      <c r="G92" s="108">
        <f t="shared" si="28"/>
        <v>119</v>
      </c>
      <c r="H92" s="161"/>
      <c r="I92" s="161"/>
      <c r="J92" s="161">
        <f t="shared" si="27"/>
        <v>119</v>
      </c>
      <c r="K92" s="161"/>
      <c r="L92" s="177"/>
      <c r="M92" s="161"/>
      <c r="N92" s="161"/>
      <c r="O92" s="161"/>
      <c r="P92" s="161"/>
      <c r="Q92" s="161"/>
      <c r="R92" s="161"/>
      <c r="S92" s="161"/>
      <c r="T92" s="161"/>
      <c r="U92" s="169">
        <v>61</v>
      </c>
      <c r="V92" s="117">
        <v>34</v>
      </c>
      <c r="W92" s="117">
        <v>30</v>
      </c>
      <c r="X92" s="117">
        <v>15</v>
      </c>
      <c r="Y92" s="117">
        <v>1</v>
      </c>
    </row>
    <row r="93" spans="1:25" ht="21" hidden="1" customHeight="1">
      <c r="A93" s="103" t="s">
        <v>106</v>
      </c>
      <c r="B93" s="103"/>
      <c r="C93" s="125"/>
      <c r="D93" s="111"/>
      <c r="E93" s="111"/>
      <c r="F93" s="111"/>
      <c r="G93" s="108">
        <f t="shared" si="28"/>
        <v>0</v>
      </c>
      <c r="H93" s="161"/>
      <c r="I93" s="161"/>
      <c r="J93" s="161">
        <f t="shared" si="27"/>
        <v>0</v>
      </c>
      <c r="K93" s="161"/>
      <c r="L93" s="177"/>
      <c r="M93" s="161"/>
      <c r="N93" s="161"/>
      <c r="O93" s="161"/>
      <c r="P93" s="161"/>
      <c r="Q93" s="161"/>
      <c r="R93" s="161"/>
      <c r="S93" s="161"/>
      <c r="T93" s="161"/>
      <c r="U93" s="169"/>
      <c r="V93" s="117"/>
      <c r="W93" s="117"/>
      <c r="X93" s="117"/>
      <c r="Y93" s="117">
        <v>1</v>
      </c>
    </row>
    <row r="94" spans="1:25" ht="21" customHeight="1">
      <c r="A94" s="103" t="s">
        <v>169</v>
      </c>
      <c r="B94" s="103"/>
      <c r="C94" s="125">
        <v>14</v>
      </c>
      <c r="D94" s="111">
        <v>21</v>
      </c>
      <c r="E94" s="111"/>
      <c r="F94" s="111"/>
      <c r="G94" s="111">
        <f t="shared" si="28"/>
        <v>35</v>
      </c>
      <c r="H94" s="161"/>
      <c r="I94" s="161"/>
      <c r="J94" s="161">
        <f t="shared" si="27"/>
        <v>35</v>
      </c>
      <c r="K94" s="161"/>
      <c r="L94" s="177"/>
      <c r="M94" s="161"/>
      <c r="N94" s="161"/>
      <c r="O94" s="161"/>
      <c r="P94" s="161"/>
      <c r="Q94" s="161"/>
      <c r="R94" s="161"/>
      <c r="S94" s="161"/>
      <c r="T94" s="161"/>
      <c r="U94" s="169">
        <v>33</v>
      </c>
      <c r="V94" s="117"/>
      <c r="W94" s="117"/>
      <c r="X94" s="117"/>
      <c r="Y94" s="117"/>
    </row>
    <row r="95" spans="1:25" ht="21" hidden="1" customHeight="1">
      <c r="A95" s="103" t="s">
        <v>120</v>
      </c>
      <c r="B95" s="103"/>
      <c r="C95" s="125"/>
      <c r="D95" s="111"/>
      <c r="E95" s="111"/>
      <c r="F95" s="111"/>
      <c r="G95" s="111"/>
      <c r="H95" s="161"/>
      <c r="I95" s="161"/>
      <c r="J95" s="161">
        <f t="shared" si="27"/>
        <v>0</v>
      </c>
      <c r="K95" s="161"/>
      <c r="L95" s="177"/>
      <c r="M95" s="161"/>
      <c r="N95" s="161"/>
      <c r="O95" s="161"/>
      <c r="P95" s="161"/>
      <c r="Q95" s="161"/>
      <c r="R95" s="161"/>
      <c r="S95" s="161"/>
      <c r="T95" s="161"/>
    </row>
    <row r="96" spans="1:25" ht="21" hidden="1" customHeight="1">
      <c r="A96" s="103" t="s">
        <v>107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7"/>
        <v>0</v>
      </c>
      <c r="K96" s="161"/>
      <c r="L96" s="177"/>
      <c r="M96" s="161"/>
      <c r="N96" s="161"/>
      <c r="O96" s="161"/>
      <c r="P96" s="161"/>
      <c r="Q96" s="161"/>
      <c r="R96" s="161"/>
      <c r="S96" s="161"/>
      <c r="T96" s="161"/>
    </row>
    <row r="97" spans="1:25" ht="21" hidden="1" customHeight="1">
      <c r="A97" s="95" t="s">
        <v>3</v>
      </c>
      <c r="B97" s="95"/>
      <c r="C97" s="121"/>
      <c r="D97" s="106">
        <f>SUM(D79:D96)</f>
        <v>160</v>
      </c>
      <c r="E97" s="106">
        <f>SUM(E79:E96)</f>
        <v>111</v>
      </c>
      <c r="F97" s="106">
        <f>SUM(F79:F96)</f>
        <v>66</v>
      </c>
      <c r="G97" s="106">
        <f>SUM(G79:G96)</f>
        <v>525</v>
      </c>
      <c r="H97" s="160"/>
      <c r="I97" s="160"/>
      <c r="J97" s="161">
        <f t="shared" si="27"/>
        <v>337</v>
      </c>
      <c r="K97" s="160"/>
      <c r="L97" s="176"/>
      <c r="M97" s="160"/>
      <c r="N97" s="160"/>
      <c r="O97" s="160"/>
      <c r="P97" s="160"/>
      <c r="Q97" s="160"/>
      <c r="R97" s="160"/>
      <c r="S97" s="160"/>
      <c r="T97" s="160"/>
    </row>
    <row r="98" spans="1:25" ht="21" customHeight="1">
      <c r="A98" s="101" t="s">
        <v>19</v>
      </c>
      <c r="B98" s="110">
        <f>SUM(B99:B110)</f>
        <v>0</v>
      </c>
      <c r="C98" s="110">
        <f>SUM(C99:C110)</f>
        <v>459</v>
      </c>
      <c r="D98" s="110">
        <f t="shared" ref="D98:G98" si="29">SUM(D99:D110)</f>
        <v>404</v>
      </c>
      <c r="E98" s="110">
        <f t="shared" si="29"/>
        <v>255</v>
      </c>
      <c r="F98" s="110">
        <f>SUM(F99:F110)</f>
        <v>74</v>
      </c>
      <c r="G98" s="110">
        <f t="shared" si="29"/>
        <v>1192</v>
      </c>
      <c r="H98" s="162"/>
      <c r="I98" s="162"/>
      <c r="J98" s="161">
        <f t="shared" si="27"/>
        <v>1192</v>
      </c>
      <c r="K98" s="162"/>
      <c r="L98" s="178"/>
      <c r="M98" s="162"/>
      <c r="N98" s="162"/>
      <c r="O98" s="162"/>
      <c r="P98" s="162"/>
      <c r="Q98" s="162"/>
      <c r="R98" s="162"/>
      <c r="S98" s="162"/>
      <c r="T98" s="162"/>
      <c r="U98" s="117">
        <f>SUM(U79:U97)</f>
        <v>251</v>
      </c>
      <c r="V98" s="117">
        <f>SUM(V79:V97)</f>
        <v>117</v>
      </c>
      <c r="W98" s="117">
        <f>SUM(W79:W97)</f>
        <v>144</v>
      </c>
      <c r="X98" s="117">
        <f>SUM(X79:X97)</f>
        <v>83</v>
      </c>
      <c r="Y98" s="117">
        <f>SUM(Y79:Y97)</f>
        <v>7</v>
      </c>
    </row>
    <row r="99" spans="1:25" ht="21" customHeight="1">
      <c r="A99" s="259" t="s">
        <v>215</v>
      </c>
      <c r="B99" s="259"/>
      <c r="C99" s="260"/>
      <c r="D99" s="114"/>
      <c r="E99" s="114">
        <v>35</v>
      </c>
      <c r="F99" s="114">
        <v>11</v>
      </c>
      <c r="G99" s="109">
        <f t="shared" ref="G99:G110" si="30">SUM(B99:F99)</f>
        <v>46</v>
      </c>
      <c r="H99" s="161"/>
      <c r="I99" s="161">
        <v>1</v>
      </c>
      <c r="J99" s="161">
        <f t="shared" si="27"/>
        <v>46</v>
      </c>
      <c r="K99" s="161"/>
      <c r="L99" s="177"/>
      <c r="M99" s="161"/>
      <c r="N99" s="161"/>
      <c r="O99" s="161"/>
      <c r="P99" s="161"/>
      <c r="Q99" s="161"/>
      <c r="R99" s="161"/>
      <c r="S99" s="161"/>
      <c r="T99" s="161"/>
      <c r="U99" s="169">
        <v>78</v>
      </c>
      <c r="V99" s="117">
        <v>55</v>
      </c>
      <c r="W99" s="117">
        <v>52</v>
      </c>
      <c r="X99" s="117">
        <v>29</v>
      </c>
      <c r="Y99" s="117">
        <v>16</v>
      </c>
    </row>
    <row r="100" spans="1:25" ht="21" customHeight="1">
      <c r="A100" s="100" t="s">
        <v>4</v>
      </c>
      <c r="B100" s="100"/>
      <c r="C100" s="124">
        <v>42</v>
      </c>
      <c r="D100" s="108">
        <v>44</v>
      </c>
      <c r="E100" s="108">
        <v>44</v>
      </c>
      <c r="F100" s="108">
        <v>9</v>
      </c>
      <c r="G100" s="108">
        <f t="shared" si="30"/>
        <v>139</v>
      </c>
      <c r="H100" s="161"/>
      <c r="I100" s="161">
        <v>2</v>
      </c>
      <c r="J100" s="161">
        <f t="shared" si="27"/>
        <v>139</v>
      </c>
      <c r="K100" s="161"/>
      <c r="L100" s="177"/>
      <c r="M100" s="161"/>
      <c r="N100" s="161"/>
      <c r="O100" s="161"/>
      <c r="P100" s="161"/>
      <c r="Q100" s="161"/>
      <c r="R100" s="161"/>
      <c r="S100" s="161"/>
      <c r="T100" s="161"/>
      <c r="U100" s="169">
        <v>49</v>
      </c>
      <c r="V100" s="117">
        <v>47</v>
      </c>
      <c r="W100" s="117">
        <v>46</v>
      </c>
      <c r="X100" s="117">
        <v>40</v>
      </c>
      <c r="Y100" s="117">
        <v>7</v>
      </c>
    </row>
    <row r="101" spans="1:25" ht="21" customHeight="1">
      <c r="A101" s="100" t="s">
        <v>214</v>
      </c>
      <c r="B101" s="100"/>
      <c r="C101" s="124">
        <f>37+14</f>
        <v>51</v>
      </c>
      <c r="D101" s="108">
        <f>30+15</f>
        <v>45</v>
      </c>
      <c r="E101" s="108"/>
      <c r="F101" s="108"/>
      <c r="G101" s="108">
        <f t="shared" si="30"/>
        <v>96</v>
      </c>
      <c r="H101" s="161"/>
      <c r="I101" s="161">
        <v>2</v>
      </c>
      <c r="J101" s="161">
        <f t="shared" si="27"/>
        <v>96</v>
      </c>
      <c r="K101" s="161"/>
      <c r="L101" s="177"/>
      <c r="M101" s="161"/>
      <c r="N101" s="161"/>
      <c r="O101" s="161"/>
      <c r="P101" s="161"/>
      <c r="Q101" s="161"/>
      <c r="R101" s="161"/>
      <c r="S101" s="161"/>
      <c r="T101" s="161"/>
      <c r="U101" s="169">
        <v>49</v>
      </c>
      <c r="V101" s="117">
        <v>47</v>
      </c>
      <c r="W101" s="117">
        <v>46</v>
      </c>
      <c r="X101" s="117">
        <v>40</v>
      </c>
      <c r="Y101" s="117">
        <v>7</v>
      </c>
    </row>
    <row r="102" spans="1:25" ht="21" customHeight="1">
      <c r="A102" s="100" t="s">
        <v>76</v>
      </c>
      <c r="B102" s="100"/>
      <c r="C102" s="124">
        <v>41</v>
      </c>
      <c r="D102" s="108">
        <v>34</v>
      </c>
      <c r="E102" s="108">
        <v>33</v>
      </c>
      <c r="F102" s="108">
        <v>4</v>
      </c>
      <c r="G102" s="108">
        <f t="shared" si="30"/>
        <v>112</v>
      </c>
      <c r="H102" s="161"/>
      <c r="I102" s="161">
        <v>3</v>
      </c>
      <c r="J102" s="161">
        <f t="shared" si="27"/>
        <v>112</v>
      </c>
      <c r="K102" s="161"/>
      <c r="L102" s="177"/>
      <c r="M102" s="161"/>
      <c r="N102" s="161"/>
      <c r="O102" s="161"/>
      <c r="P102" s="161"/>
      <c r="Q102" s="161"/>
      <c r="R102" s="161"/>
      <c r="S102" s="161"/>
      <c r="T102" s="161"/>
      <c r="U102" s="169">
        <v>40</v>
      </c>
      <c r="V102" s="117">
        <v>38</v>
      </c>
      <c r="W102" s="117">
        <v>61</v>
      </c>
      <c r="X102" s="117">
        <v>38</v>
      </c>
      <c r="Y102" s="117"/>
    </row>
    <row r="103" spans="1:25" ht="21" customHeight="1">
      <c r="A103" s="100" t="s">
        <v>21</v>
      </c>
      <c r="B103" s="100"/>
      <c r="C103" s="124">
        <v>28</v>
      </c>
      <c r="D103" s="108">
        <v>41</v>
      </c>
      <c r="E103" s="108"/>
      <c r="F103" s="108">
        <v>4</v>
      </c>
      <c r="G103" s="108">
        <f t="shared" si="30"/>
        <v>73</v>
      </c>
      <c r="H103" s="161"/>
      <c r="I103" s="161">
        <v>4</v>
      </c>
      <c r="J103" s="161">
        <f t="shared" si="27"/>
        <v>73</v>
      </c>
      <c r="K103" s="161"/>
      <c r="L103" s="177"/>
      <c r="M103" s="161"/>
      <c r="N103" s="161"/>
      <c r="O103" s="161"/>
      <c r="P103" s="161"/>
      <c r="Q103" s="161"/>
      <c r="R103" s="161"/>
      <c r="S103" s="161"/>
      <c r="T103" s="161"/>
      <c r="U103" s="169">
        <v>49</v>
      </c>
      <c r="V103" s="117"/>
      <c r="W103" s="117">
        <v>42</v>
      </c>
      <c r="X103" s="117"/>
      <c r="Y103" s="117">
        <v>2</v>
      </c>
    </row>
    <row r="104" spans="1:25" ht="21" customHeight="1">
      <c r="A104" s="100" t="s">
        <v>22</v>
      </c>
      <c r="B104" s="100"/>
      <c r="C104" s="124">
        <f>40+37</f>
        <v>77</v>
      </c>
      <c r="D104" s="108">
        <f>41+36</f>
        <v>77</v>
      </c>
      <c r="E104" s="108">
        <v>36</v>
      </c>
      <c r="F104" s="108">
        <v>10</v>
      </c>
      <c r="G104" s="108">
        <f t="shared" si="30"/>
        <v>200</v>
      </c>
      <c r="H104" s="161"/>
      <c r="I104" s="161">
        <v>5</v>
      </c>
      <c r="J104" s="161">
        <f t="shared" si="27"/>
        <v>200</v>
      </c>
      <c r="K104" s="161"/>
      <c r="L104" s="177"/>
      <c r="M104" s="161"/>
      <c r="N104" s="161"/>
      <c r="O104" s="161"/>
      <c r="P104" s="161"/>
      <c r="Q104" s="161"/>
      <c r="R104" s="161"/>
      <c r="S104" s="161"/>
      <c r="T104" s="161"/>
      <c r="U104" s="169">
        <v>104</v>
      </c>
      <c r="V104" s="117">
        <v>41</v>
      </c>
      <c r="W104" s="117">
        <v>47</v>
      </c>
      <c r="X104" s="117">
        <v>36</v>
      </c>
      <c r="Y104" s="117">
        <v>11</v>
      </c>
    </row>
    <row r="105" spans="1:25" ht="21" customHeight="1">
      <c r="A105" s="100" t="s">
        <v>81</v>
      </c>
      <c r="B105" s="100"/>
      <c r="C105" s="124">
        <v>34</v>
      </c>
      <c r="D105" s="108">
        <v>22</v>
      </c>
      <c r="E105" s="108">
        <v>18</v>
      </c>
      <c r="F105" s="108">
        <v>25</v>
      </c>
      <c r="G105" s="108">
        <f t="shared" si="30"/>
        <v>99</v>
      </c>
      <c r="H105" s="161"/>
      <c r="I105" s="161">
        <v>6</v>
      </c>
      <c r="J105" s="161">
        <f t="shared" si="27"/>
        <v>99</v>
      </c>
      <c r="K105" s="161"/>
      <c r="L105" s="177"/>
      <c r="M105" s="161"/>
      <c r="N105" s="161"/>
      <c r="O105" s="161"/>
      <c r="P105" s="161"/>
      <c r="Q105" s="161"/>
      <c r="R105" s="161"/>
      <c r="S105" s="161"/>
      <c r="T105" s="161"/>
      <c r="U105" s="169">
        <v>44</v>
      </c>
      <c r="V105" s="117">
        <v>28</v>
      </c>
      <c r="W105" s="117">
        <v>23</v>
      </c>
      <c r="X105" s="117">
        <v>21</v>
      </c>
      <c r="Y105" s="117"/>
    </row>
    <row r="106" spans="1:25" ht="21" customHeight="1">
      <c r="A106" s="100" t="s">
        <v>24</v>
      </c>
      <c r="B106" s="100"/>
      <c r="C106" s="124">
        <v>75</v>
      </c>
      <c r="D106" s="108"/>
      <c r="E106" s="108">
        <v>29</v>
      </c>
      <c r="F106" s="108">
        <v>1</v>
      </c>
      <c r="G106" s="108">
        <f t="shared" si="30"/>
        <v>105</v>
      </c>
      <c r="H106" s="161"/>
      <c r="I106" s="161">
        <v>7</v>
      </c>
      <c r="J106" s="161">
        <f t="shared" si="27"/>
        <v>105</v>
      </c>
      <c r="K106" s="161"/>
      <c r="L106" s="177"/>
      <c r="M106" s="161"/>
      <c r="N106" s="161"/>
      <c r="O106" s="161"/>
      <c r="P106" s="161"/>
      <c r="Q106" s="161"/>
      <c r="R106" s="161"/>
      <c r="S106" s="161"/>
      <c r="T106" s="161"/>
      <c r="U106" s="169"/>
      <c r="V106" s="117">
        <v>33</v>
      </c>
      <c r="W106" s="117">
        <v>41</v>
      </c>
      <c r="X106" s="117">
        <v>36</v>
      </c>
      <c r="Y106" s="117">
        <v>3</v>
      </c>
    </row>
    <row r="107" spans="1:25" ht="21" customHeight="1">
      <c r="A107" s="100" t="s">
        <v>75</v>
      </c>
      <c r="B107" s="100"/>
      <c r="C107" s="124"/>
      <c r="D107" s="108"/>
      <c r="E107" s="108">
        <v>14</v>
      </c>
      <c r="F107" s="108">
        <v>6</v>
      </c>
      <c r="G107" s="108">
        <f t="shared" si="30"/>
        <v>20</v>
      </c>
      <c r="H107" s="161"/>
      <c r="I107" s="161">
        <v>8</v>
      </c>
      <c r="J107" s="161">
        <f t="shared" si="27"/>
        <v>20</v>
      </c>
      <c r="K107" s="161"/>
      <c r="L107" s="177"/>
      <c r="M107" s="161"/>
      <c r="N107" s="161"/>
      <c r="O107" s="161"/>
      <c r="P107" s="161"/>
      <c r="Q107" s="161"/>
      <c r="R107" s="161"/>
      <c r="S107" s="161"/>
      <c r="T107" s="161"/>
      <c r="U107" s="169"/>
      <c r="V107" s="117">
        <v>22</v>
      </c>
      <c r="W107" s="117">
        <v>30</v>
      </c>
      <c r="X107" s="117">
        <v>9</v>
      </c>
      <c r="Y107" s="117"/>
    </row>
    <row r="108" spans="1:25" ht="21" customHeight="1">
      <c r="A108" s="100" t="s">
        <v>168</v>
      </c>
      <c r="B108" s="100"/>
      <c r="C108" s="124">
        <v>66</v>
      </c>
      <c r="D108" s="108">
        <v>68</v>
      </c>
      <c r="E108" s="108"/>
      <c r="F108" s="108"/>
      <c r="G108" s="108">
        <f t="shared" si="30"/>
        <v>134</v>
      </c>
      <c r="H108" s="161"/>
      <c r="I108" s="161">
        <v>9</v>
      </c>
      <c r="J108" s="161">
        <f t="shared" si="27"/>
        <v>134</v>
      </c>
      <c r="K108" s="161"/>
      <c r="L108" s="177"/>
      <c r="M108" s="161"/>
      <c r="N108" s="161"/>
      <c r="O108" s="161"/>
      <c r="P108" s="161"/>
      <c r="Q108" s="161"/>
      <c r="R108" s="161"/>
      <c r="S108" s="161"/>
      <c r="T108" s="161"/>
      <c r="U108" s="169">
        <v>82</v>
      </c>
      <c r="V108" s="117"/>
      <c r="W108" s="117"/>
      <c r="X108" s="117"/>
      <c r="Y108" s="117"/>
    </row>
    <row r="109" spans="1:25" ht="21" customHeight="1">
      <c r="A109" s="100" t="s">
        <v>275</v>
      </c>
      <c r="B109" s="100"/>
      <c r="C109" s="124"/>
      <c r="D109" s="108"/>
      <c r="E109" s="108"/>
      <c r="F109" s="108"/>
      <c r="G109" s="108">
        <f t="shared" si="30"/>
        <v>0</v>
      </c>
      <c r="H109" s="161"/>
      <c r="I109" s="161">
        <v>9</v>
      </c>
      <c r="J109" s="161">
        <f t="shared" si="27"/>
        <v>0</v>
      </c>
      <c r="K109" s="161"/>
      <c r="L109" s="177"/>
      <c r="M109" s="161"/>
      <c r="N109" s="161"/>
      <c r="O109" s="161"/>
      <c r="P109" s="161"/>
      <c r="Q109" s="161"/>
      <c r="R109" s="161"/>
      <c r="S109" s="161"/>
      <c r="T109" s="161"/>
      <c r="U109" s="169">
        <v>82</v>
      </c>
      <c r="V109" s="117"/>
      <c r="W109" s="117"/>
      <c r="X109" s="117"/>
      <c r="Y109" s="117"/>
    </row>
    <row r="110" spans="1:25" ht="21" customHeight="1">
      <c r="A110" s="103" t="s">
        <v>25</v>
      </c>
      <c r="B110" s="103"/>
      <c r="C110" s="125">
        <v>45</v>
      </c>
      <c r="D110" s="111">
        <v>73</v>
      </c>
      <c r="E110" s="111">
        <v>46</v>
      </c>
      <c r="F110" s="111">
        <v>4</v>
      </c>
      <c r="G110" s="114">
        <f t="shared" si="30"/>
        <v>168</v>
      </c>
      <c r="H110" s="161"/>
      <c r="I110" s="161">
        <v>10</v>
      </c>
      <c r="J110" s="161">
        <f t="shared" si="27"/>
        <v>168</v>
      </c>
      <c r="K110" s="161"/>
      <c r="L110" s="177"/>
      <c r="M110" s="161"/>
      <c r="N110" s="161"/>
      <c r="O110" s="161"/>
      <c r="P110" s="161"/>
      <c r="Q110" s="161"/>
      <c r="R110" s="161"/>
      <c r="S110" s="161"/>
      <c r="T110" s="161"/>
      <c r="U110" s="169">
        <v>97</v>
      </c>
      <c r="V110" s="117">
        <v>49</v>
      </c>
      <c r="W110" s="117">
        <v>43</v>
      </c>
      <c r="X110" s="117">
        <v>52</v>
      </c>
      <c r="Y110" s="117">
        <v>5</v>
      </c>
    </row>
    <row r="111" spans="1:25" ht="21" customHeight="1">
      <c r="A111" s="95" t="s">
        <v>3</v>
      </c>
      <c r="B111" s="106">
        <f>SUM(B99:B110)</f>
        <v>0</v>
      </c>
      <c r="C111" s="106">
        <f>SUM(C99:C110)</f>
        <v>459</v>
      </c>
      <c r="D111" s="106">
        <f t="shared" ref="D111:E111" si="31">SUM(D99:D110)</f>
        <v>404</v>
      </c>
      <c r="E111" s="106">
        <f t="shared" si="31"/>
        <v>255</v>
      </c>
      <c r="F111" s="106">
        <f>SUM(F99:F110)</f>
        <v>74</v>
      </c>
      <c r="G111" s="106">
        <f>SUM(G99:G110)</f>
        <v>1192</v>
      </c>
      <c r="H111" s="160"/>
      <c r="I111" s="160"/>
      <c r="J111" s="160"/>
      <c r="K111" s="160"/>
      <c r="L111" s="176"/>
      <c r="M111" s="160"/>
      <c r="N111" s="160"/>
      <c r="O111" s="160"/>
      <c r="P111" s="160"/>
      <c r="Q111" s="160"/>
      <c r="R111" s="160"/>
      <c r="S111" s="160"/>
      <c r="T111" s="160"/>
      <c r="U111" s="169">
        <f>SUM(U99:U110)</f>
        <v>674</v>
      </c>
      <c r="V111" s="117">
        <f>SUM(V99:V110)</f>
        <v>360</v>
      </c>
      <c r="W111" s="117">
        <f>SUM(W99:W110)</f>
        <v>431</v>
      </c>
      <c r="X111" s="117">
        <f>SUM(X99:X110)</f>
        <v>301</v>
      </c>
      <c r="Y111" s="117">
        <f>SUM(Y99:Y110)</f>
        <v>51</v>
      </c>
    </row>
    <row r="112" spans="1:25" ht="21" customHeight="1">
      <c r="A112" s="101" t="s">
        <v>26</v>
      </c>
      <c r="B112" s="110">
        <f t="shared" ref="B112:G112" si="32">SUM(B124,B130,B134)</f>
        <v>0</v>
      </c>
      <c r="C112" s="110">
        <f t="shared" si="32"/>
        <v>613</v>
      </c>
      <c r="D112" s="110">
        <f t="shared" si="32"/>
        <v>541</v>
      </c>
      <c r="E112" s="110">
        <f t="shared" si="32"/>
        <v>447</v>
      </c>
      <c r="F112" s="110">
        <f t="shared" si="32"/>
        <v>74</v>
      </c>
      <c r="G112" s="110">
        <f t="shared" si="32"/>
        <v>1675</v>
      </c>
      <c r="H112" s="162">
        <f>G112-4</f>
        <v>1671</v>
      </c>
      <c r="I112" s="162"/>
      <c r="J112" s="162"/>
      <c r="K112" s="162">
        <f>1981-2</f>
        <v>1979</v>
      </c>
      <c r="L112" s="178"/>
      <c r="M112" s="162"/>
      <c r="N112" s="162"/>
      <c r="O112" s="162"/>
      <c r="P112" s="162"/>
      <c r="Q112" s="162"/>
      <c r="R112" s="162"/>
      <c r="S112" s="162"/>
      <c r="T112" s="162"/>
      <c r="W112" s="117"/>
    </row>
    <row r="113" spans="1:26" ht="21" customHeight="1">
      <c r="A113" s="99" t="s">
        <v>239</v>
      </c>
      <c r="B113" s="99"/>
      <c r="C113" s="123">
        <v>33</v>
      </c>
      <c r="D113" s="109"/>
      <c r="E113" s="109"/>
      <c r="F113" s="109"/>
      <c r="G113" s="109">
        <f t="shared" ref="G113:G123" si="33">SUM(B113:F113)</f>
        <v>33</v>
      </c>
      <c r="H113" s="161"/>
      <c r="I113" s="161"/>
      <c r="J113" s="161">
        <f t="shared" ref="J113:J123" si="34">SUM(C113:F113)</f>
        <v>33</v>
      </c>
      <c r="K113" s="161"/>
      <c r="L113" s="177"/>
      <c r="M113" s="161"/>
      <c r="N113" s="161"/>
      <c r="O113" s="161"/>
      <c r="P113" s="161"/>
      <c r="Q113" s="161"/>
      <c r="R113" s="161"/>
      <c r="S113" s="161"/>
      <c r="T113" s="161"/>
      <c r="U113" s="169">
        <v>47</v>
      </c>
      <c r="V113" s="117">
        <v>23</v>
      </c>
      <c r="W113" s="117">
        <v>27</v>
      </c>
      <c r="X113" s="117">
        <v>17</v>
      </c>
      <c r="Y113" s="117"/>
    </row>
    <row r="114" spans="1:26" ht="21" customHeight="1">
      <c r="A114" s="99" t="s">
        <v>79</v>
      </c>
      <c r="B114" s="99"/>
      <c r="C114" s="123">
        <v>31</v>
      </c>
      <c r="D114" s="109">
        <v>32</v>
      </c>
      <c r="E114" s="109">
        <v>20</v>
      </c>
      <c r="F114" s="109">
        <v>2</v>
      </c>
      <c r="G114" s="109">
        <f t="shared" si="33"/>
        <v>85</v>
      </c>
      <c r="H114" s="161"/>
      <c r="I114" s="161"/>
      <c r="J114" s="161">
        <f t="shared" si="34"/>
        <v>85</v>
      </c>
      <c r="K114" s="161"/>
      <c r="L114" s="177"/>
      <c r="M114" s="161"/>
      <c r="N114" s="161"/>
      <c r="O114" s="161"/>
      <c r="P114" s="161"/>
      <c r="Q114" s="161"/>
      <c r="R114" s="161"/>
      <c r="S114" s="161"/>
      <c r="T114" s="161"/>
      <c r="U114" s="169">
        <v>47</v>
      </c>
      <c r="V114" s="117">
        <v>23</v>
      </c>
      <c r="W114" s="117">
        <v>27</v>
      </c>
      <c r="X114" s="117">
        <v>17</v>
      </c>
      <c r="Y114" s="117"/>
    </row>
    <row r="115" spans="1:26" ht="21" customHeight="1">
      <c r="A115" s="100" t="s">
        <v>80</v>
      </c>
      <c r="B115" s="100"/>
      <c r="C115" s="124">
        <f>34+33+58</f>
        <v>125</v>
      </c>
      <c r="D115" s="108">
        <f>37+40+95</f>
        <v>172</v>
      </c>
      <c r="E115" s="108">
        <f>55+51</f>
        <v>106</v>
      </c>
      <c r="F115" s="108">
        <f>12+10</f>
        <v>22</v>
      </c>
      <c r="G115" s="109">
        <f t="shared" si="33"/>
        <v>425</v>
      </c>
      <c r="H115" s="161"/>
      <c r="I115" s="161"/>
      <c r="J115" s="161">
        <f t="shared" si="34"/>
        <v>425</v>
      </c>
      <c r="K115" s="161"/>
      <c r="L115" s="177"/>
      <c r="M115" s="161"/>
      <c r="N115" s="161"/>
      <c r="O115" s="161"/>
      <c r="P115" s="161"/>
      <c r="Q115" s="161"/>
      <c r="R115" s="161"/>
      <c r="S115" s="161"/>
      <c r="T115" s="161"/>
      <c r="U115" s="169">
        <v>228</v>
      </c>
      <c r="V115" s="117">
        <v>110</v>
      </c>
      <c r="W115" s="117">
        <v>123</v>
      </c>
      <c r="X115" s="117">
        <v>93</v>
      </c>
      <c r="Y115" s="117"/>
    </row>
    <row r="116" spans="1:26" ht="21" customHeight="1">
      <c r="A116" s="100" t="s">
        <v>30</v>
      </c>
      <c r="B116" s="100"/>
      <c r="C116" s="124">
        <v>38</v>
      </c>
      <c r="D116" s="108">
        <v>43</v>
      </c>
      <c r="E116" s="108">
        <v>44</v>
      </c>
      <c r="F116" s="108">
        <v>15</v>
      </c>
      <c r="G116" s="109">
        <f t="shared" si="33"/>
        <v>140</v>
      </c>
      <c r="H116" s="161"/>
      <c r="I116" s="161"/>
      <c r="J116" s="161">
        <f t="shared" si="34"/>
        <v>140</v>
      </c>
      <c r="K116" s="161"/>
      <c r="L116" s="177"/>
      <c r="M116" s="161"/>
      <c r="N116" s="161"/>
      <c r="O116" s="161"/>
      <c r="P116" s="161"/>
      <c r="Q116" s="161"/>
      <c r="R116" s="161"/>
      <c r="S116" s="161"/>
      <c r="T116" s="161"/>
      <c r="U116" s="169">
        <v>55</v>
      </c>
      <c r="V116" s="117">
        <v>51</v>
      </c>
      <c r="W116" s="117">
        <v>30</v>
      </c>
      <c r="X116" s="117">
        <v>22</v>
      </c>
      <c r="Y116" s="117">
        <v>10</v>
      </c>
    </row>
    <row r="117" spans="1:26" ht="21" customHeight="1">
      <c r="A117" s="100" t="s">
        <v>31</v>
      </c>
      <c r="B117" s="100"/>
      <c r="C117" s="124">
        <v>54</v>
      </c>
      <c r="D117" s="108">
        <v>69</v>
      </c>
      <c r="E117" s="108">
        <f>35+37</f>
        <v>72</v>
      </c>
      <c r="F117" s="108">
        <v>8</v>
      </c>
      <c r="G117" s="109">
        <f t="shared" si="33"/>
        <v>203</v>
      </c>
      <c r="H117" s="161"/>
      <c r="I117" s="161"/>
      <c r="J117" s="161">
        <f t="shared" si="34"/>
        <v>203</v>
      </c>
      <c r="K117" s="161"/>
      <c r="L117" s="177"/>
      <c r="M117" s="161"/>
      <c r="N117" s="161"/>
      <c r="O117" s="161"/>
      <c r="P117" s="161"/>
      <c r="Q117" s="161"/>
      <c r="R117" s="161"/>
      <c r="S117" s="161"/>
      <c r="T117" s="161"/>
      <c r="U117" s="169">
        <v>91</v>
      </c>
      <c r="V117" s="117">
        <v>72</v>
      </c>
      <c r="W117" s="117">
        <v>42</v>
      </c>
      <c r="X117" s="117">
        <v>50</v>
      </c>
      <c r="Y117" s="117">
        <v>7</v>
      </c>
    </row>
    <row r="118" spans="1:26" ht="21" customHeight="1">
      <c r="A118" s="100" t="s">
        <v>32</v>
      </c>
      <c r="B118" s="100"/>
      <c r="C118" s="124">
        <v>66</v>
      </c>
      <c r="D118" s="108">
        <v>47</v>
      </c>
      <c r="E118" s="108">
        <v>44</v>
      </c>
      <c r="F118" s="108">
        <v>12</v>
      </c>
      <c r="G118" s="109">
        <f t="shared" si="33"/>
        <v>169</v>
      </c>
      <c r="H118" s="161"/>
      <c r="I118" s="161"/>
      <c r="J118" s="161">
        <f t="shared" si="34"/>
        <v>169</v>
      </c>
      <c r="K118" s="161"/>
      <c r="L118" s="177"/>
      <c r="M118" s="161"/>
      <c r="N118" s="161"/>
      <c r="O118" s="161"/>
      <c r="P118" s="161"/>
      <c r="Q118" s="161"/>
      <c r="R118" s="161"/>
      <c r="S118" s="161"/>
      <c r="T118" s="161"/>
      <c r="U118" s="169">
        <v>48</v>
      </c>
      <c r="V118" s="117">
        <v>41</v>
      </c>
      <c r="W118" s="117">
        <v>24</v>
      </c>
      <c r="X118" s="117">
        <v>21</v>
      </c>
      <c r="Y118" s="117">
        <v>13</v>
      </c>
    </row>
    <row r="119" spans="1:26" ht="21" hidden="1" customHeight="1">
      <c r="A119" s="100" t="s">
        <v>117</v>
      </c>
      <c r="B119" s="100"/>
      <c r="C119" s="124"/>
      <c r="D119" s="108"/>
      <c r="E119" s="108"/>
      <c r="F119" s="108"/>
      <c r="G119" s="109">
        <f t="shared" si="33"/>
        <v>0</v>
      </c>
      <c r="H119" s="161"/>
      <c r="I119" s="161"/>
      <c r="J119" s="161">
        <f t="shared" si="34"/>
        <v>0</v>
      </c>
      <c r="K119" s="161"/>
      <c r="L119" s="177"/>
      <c r="M119" s="161"/>
      <c r="N119" s="161"/>
      <c r="O119" s="161"/>
      <c r="P119" s="161"/>
      <c r="Q119" s="161"/>
      <c r="R119" s="161"/>
      <c r="S119" s="161"/>
      <c r="T119" s="161"/>
      <c r="U119" s="169"/>
      <c r="V119" s="117"/>
      <c r="W119" s="117"/>
      <c r="X119" s="117"/>
      <c r="Y119" s="117"/>
    </row>
    <row r="120" spans="1:26" ht="21" customHeight="1">
      <c r="A120" s="100" t="s">
        <v>33</v>
      </c>
      <c r="B120" s="100"/>
      <c r="C120" s="124">
        <v>32</v>
      </c>
      <c r="D120" s="108">
        <v>45</v>
      </c>
      <c r="E120" s="108">
        <v>49</v>
      </c>
      <c r="F120" s="108">
        <v>5</v>
      </c>
      <c r="G120" s="109">
        <f t="shared" si="33"/>
        <v>131</v>
      </c>
      <c r="H120" s="161"/>
      <c r="I120" s="161"/>
      <c r="J120" s="161">
        <f t="shared" si="34"/>
        <v>131</v>
      </c>
      <c r="K120" s="161"/>
      <c r="L120" s="177"/>
      <c r="M120" s="161"/>
      <c r="N120" s="161"/>
      <c r="O120" s="161"/>
      <c r="P120" s="161"/>
      <c r="Q120" s="161"/>
      <c r="R120" s="161"/>
      <c r="S120" s="161"/>
      <c r="T120" s="161"/>
      <c r="U120" s="169">
        <v>49</v>
      </c>
      <c r="V120" s="117">
        <v>56</v>
      </c>
      <c r="W120" s="117">
        <v>36</v>
      </c>
      <c r="X120" s="117">
        <v>60</v>
      </c>
      <c r="Y120" s="117">
        <v>7</v>
      </c>
      <c r="Z120" s="117"/>
    </row>
    <row r="121" spans="1:26" ht="21" customHeight="1">
      <c r="A121" s="100" t="s">
        <v>133</v>
      </c>
      <c r="B121" s="100"/>
      <c r="C121" s="262">
        <v>30</v>
      </c>
      <c r="D121" s="108"/>
      <c r="E121" s="108">
        <v>26</v>
      </c>
      <c r="F121" s="108"/>
      <c r="G121" s="109">
        <f t="shared" si="33"/>
        <v>56</v>
      </c>
      <c r="H121" s="161"/>
      <c r="I121" s="161"/>
      <c r="J121" s="161">
        <f t="shared" si="34"/>
        <v>56</v>
      </c>
      <c r="K121" s="161">
        <f>83+38</f>
        <v>121</v>
      </c>
      <c r="L121" s="177"/>
      <c r="M121" s="161"/>
      <c r="N121" s="161"/>
      <c r="O121" s="161"/>
      <c r="P121" s="161"/>
      <c r="Q121" s="161"/>
      <c r="R121" s="161"/>
      <c r="S121" s="161"/>
      <c r="T121" s="161"/>
      <c r="U121" s="169"/>
      <c r="V121" s="117">
        <v>31</v>
      </c>
      <c r="W121" s="117"/>
      <c r="X121" s="117"/>
      <c r="Y121" s="117"/>
      <c r="Z121" s="117"/>
    </row>
    <row r="122" spans="1:26" ht="21" customHeight="1">
      <c r="A122" s="100" t="s">
        <v>240</v>
      </c>
      <c r="B122" s="100"/>
      <c r="C122" s="124">
        <f>79-C126</f>
        <v>41</v>
      </c>
      <c r="D122" s="108">
        <v>34</v>
      </c>
      <c r="E122" s="108">
        <v>44</v>
      </c>
      <c r="F122" s="108"/>
      <c r="G122" s="109">
        <f t="shared" si="33"/>
        <v>119</v>
      </c>
      <c r="H122" s="161"/>
      <c r="I122" s="161"/>
      <c r="J122" s="161">
        <f t="shared" si="34"/>
        <v>119</v>
      </c>
      <c r="K122" s="161"/>
      <c r="L122" s="177"/>
      <c r="M122" s="161"/>
      <c r="N122" s="161"/>
      <c r="O122" s="161"/>
      <c r="P122" s="161"/>
      <c r="Q122" s="161"/>
      <c r="R122" s="161"/>
      <c r="S122" s="161"/>
      <c r="T122" s="161"/>
      <c r="U122" s="169">
        <v>116</v>
      </c>
      <c r="V122" s="117">
        <v>51</v>
      </c>
      <c r="W122" s="117"/>
      <c r="X122" s="117"/>
      <c r="Y122" s="117"/>
      <c r="Z122" s="117"/>
    </row>
    <row r="123" spans="1:26" ht="21" customHeight="1">
      <c r="A123" s="100" t="s">
        <v>34</v>
      </c>
      <c r="B123" s="100"/>
      <c r="C123" s="124">
        <v>33</v>
      </c>
      <c r="D123" s="108">
        <v>32</v>
      </c>
      <c r="E123" s="108">
        <v>39</v>
      </c>
      <c r="F123" s="108">
        <v>5</v>
      </c>
      <c r="G123" s="108">
        <f t="shared" si="33"/>
        <v>109</v>
      </c>
      <c r="H123" s="161"/>
      <c r="I123" s="161"/>
      <c r="J123" s="161">
        <f t="shared" si="34"/>
        <v>109</v>
      </c>
      <c r="K123" s="161"/>
      <c r="L123" s="177"/>
      <c r="M123" s="161"/>
      <c r="N123" s="161"/>
      <c r="O123" s="161"/>
      <c r="P123" s="161"/>
      <c r="Q123" s="161"/>
      <c r="R123" s="161"/>
      <c r="S123" s="161"/>
      <c r="T123" s="161"/>
      <c r="U123" s="169">
        <v>42</v>
      </c>
      <c r="V123" s="117">
        <v>40</v>
      </c>
      <c r="W123" s="117">
        <v>77</v>
      </c>
      <c r="X123" s="117">
        <v>61</v>
      </c>
      <c r="Y123" s="117">
        <v>5</v>
      </c>
      <c r="Z123" s="117"/>
    </row>
    <row r="124" spans="1:26" ht="21" customHeight="1">
      <c r="A124" s="118" t="s">
        <v>161</v>
      </c>
      <c r="B124" s="110">
        <f t="shared" ref="B124:G124" si="35">SUM(B113:B123)</f>
        <v>0</v>
      </c>
      <c r="C124" s="110">
        <f t="shared" si="35"/>
        <v>483</v>
      </c>
      <c r="D124" s="110">
        <f t="shared" si="35"/>
        <v>474</v>
      </c>
      <c r="E124" s="110">
        <f t="shared" si="35"/>
        <v>444</v>
      </c>
      <c r="F124" s="110">
        <f t="shared" si="35"/>
        <v>69</v>
      </c>
      <c r="G124" s="110">
        <f t="shared" si="35"/>
        <v>1470</v>
      </c>
      <c r="H124" s="162"/>
      <c r="I124" s="162"/>
      <c r="J124" s="162"/>
      <c r="K124" s="162"/>
      <c r="L124" s="178"/>
      <c r="M124" s="162"/>
      <c r="N124" s="162"/>
      <c r="O124" s="162"/>
      <c r="P124" s="162"/>
      <c r="Q124" s="162"/>
      <c r="R124" s="162"/>
      <c r="S124" s="162"/>
      <c r="T124" s="162"/>
      <c r="U124" s="117">
        <f>SUM(U113:U123)</f>
        <v>723</v>
      </c>
      <c r="V124" s="117">
        <f>SUM(V113:V123)</f>
        <v>498</v>
      </c>
      <c r="W124" s="117">
        <f>SUM(W113:W123)</f>
        <v>386</v>
      </c>
      <c r="X124" s="117">
        <f>SUM(X113:X123)</f>
        <v>341</v>
      </c>
      <c r="Y124" s="117">
        <f>SUM(Y113:Y123)</f>
        <v>42</v>
      </c>
    </row>
    <row r="125" spans="1:26" ht="21" customHeight="1">
      <c r="A125" s="99" t="s">
        <v>27</v>
      </c>
      <c r="B125" s="99"/>
      <c r="C125" s="123"/>
      <c r="D125" s="109"/>
      <c r="E125" s="109"/>
      <c r="F125" s="109"/>
      <c r="G125" s="109">
        <f>SUM(B125:F125)</f>
        <v>0</v>
      </c>
      <c r="H125" s="161"/>
      <c r="I125" s="161"/>
      <c r="J125" s="161">
        <f>SUM(C125:F125)</f>
        <v>0</v>
      </c>
      <c r="K125" s="161"/>
      <c r="L125" s="177"/>
      <c r="M125" s="161"/>
      <c r="N125" s="161"/>
      <c r="O125" s="161"/>
      <c r="P125" s="161"/>
      <c r="Q125" s="161"/>
      <c r="R125" s="161"/>
      <c r="S125" s="161"/>
      <c r="T125" s="161"/>
      <c r="U125" s="169">
        <v>24</v>
      </c>
      <c r="V125" s="117">
        <v>44</v>
      </c>
      <c r="W125" s="117">
        <v>12</v>
      </c>
      <c r="X125" s="117"/>
      <c r="Y125" s="117"/>
    </row>
    <row r="126" spans="1:26" ht="21" customHeight="1">
      <c r="A126" s="100" t="s">
        <v>154</v>
      </c>
      <c r="B126" s="100"/>
      <c r="C126" s="124">
        <f>38</f>
        <v>38</v>
      </c>
      <c r="D126" s="108">
        <v>42</v>
      </c>
      <c r="E126" s="108"/>
      <c r="F126" s="108"/>
      <c r="G126" s="108">
        <f>SUM(B126:F126)</f>
        <v>80</v>
      </c>
      <c r="H126" s="161"/>
      <c r="I126" s="161"/>
      <c r="J126" s="161">
        <f>SUM(C126:F126)</f>
        <v>80</v>
      </c>
      <c r="K126" s="161"/>
      <c r="L126" s="177"/>
      <c r="M126" s="161"/>
      <c r="N126" s="161"/>
      <c r="O126" s="161"/>
      <c r="P126" s="161"/>
      <c r="Q126" s="161"/>
      <c r="R126" s="161"/>
      <c r="S126" s="161"/>
      <c r="T126" s="161"/>
      <c r="U126" s="169">
        <v>59</v>
      </c>
      <c r="V126" s="117">
        <v>51</v>
      </c>
      <c r="W126" s="117"/>
      <c r="X126" s="117"/>
      <c r="Y126" s="117"/>
    </row>
    <row r="127" spans="1:26" ht="21" customHeight="1">
      <c r="A127" s="100" t="s">
        <v>28</v>
      </c>
      <c r="B127" s="100"/>
      <c r="C127" s="124">
        <v>43</v>
      </c>
      <c r="D127" s="108">
        <v>25</v>
      </c>
      <c r="E127" s="108">
        <v>3</v>
      </c>
      <c r="F127" s="108">
        <v>2</v>
      </c>
      <c r="G127" s="108">
        <f>SUM(B127:F127)</f>
        <v>73</v>
      </c>
      <c r="H127" s="161"/>
      <c r="I127" s="161"/>
      <c r="J127" s="161">
        <f>SUM(C127:F127)</f>
        <v>73</v>
      </c>
      <c r="K127" s="161"/>
      <c r="L127" s="177"/>
      <c r="M127" s="161"/>
      <c r="N127" s="161"/>
      <c r="O127" s="161"/>
      <c r="P127" s="161"/>
      <c r="Q127" s="161"/>
      <c r="R127" s="161"/>
      <c r="S127" s="161"/>
      <c r="T127" s="161"/>
      <c r="U127" s="169">
        <v>82</v>
      </c>
      <c r="V127" s="117">
        <v>90</v>
      </c>
      <c r="W127" s="117">
        <v>7</v>
      </c>
      <c r="X127" s="117"/>
      <c r="Y127" s="117">
        <v>1</v>
      </c>
    </row>
    <row r="128" spans="1:26" ht="21" hidden="1" customHeight="1">
      <c r="A128" s="100" t="s">
        <v>241</v>
      </c>
      <c r="B128" s="100"/>
      <c r="C128" s="124"/>
      <c r="D128" s="108"/>
      <c r="E128" s="108"/>
      <c r="F128" s="108"/>
      <c r="G128" s="108">
        <f>SUM(C128:F128)</f>
        <v>0</v>
      </c>
      <c r="H128" s="161"/>
      <c r="I128" s="161"/>
      <c r="J128" s="161">
        <f>SUM(C128:F128)</f>
        <v>0</v>
      </c>
      <c r="K128" s="161"/>
      <c r="L128" s="177"/>
      <c r="M128" s="161"/>
      <c r="N128" s="161"/>
      <c r="O128" s="161"/>
      <c r="P128" s="161"/>
      <c r="Q128" s="161"/>
      <c r="R128" s="161"/>
      <c r="S128" s="161"/>
      <c r="T128" s="161"/>
      <c r="U128" s="169">
        <v>82</v>
      </c>
      <c r="V128" s="117">
        <v>90</v>
      </c>
      <c r="W128" s="117">
        <v>7</v>
      </c>
      <c r="X128" s="117"/>
      <c r="Y128" s="117">
        <v>1</v>
      </c>
    </row>
    <row r="129" spans="1:25" ht="21" customHeight="1">
      <c r="A129" s="103" t="s">
        <v>35</v>
      </c>
      <c r="B129" s="103"/>
      <c r="C129" s="125">
        <v>49</v>
      </c>
      <c r="D129" s="111"/>
      <c r="E129" s="111"/>
      <c r="F129" s="111">
        <v>1</v>
      </c>
      <c r="G129" s="108">
        <f>SUM(B129:F129)</f>
        <v>50</v>
      </c>
      <c r="H129" s="161"/>
      <c r="I129" s="161"/>
      <c r="J129" s="161">
        <f>SUM(C129:F129)</f>
        <v>50</v>
      </c>
      <c r="K129" s="161"/>
      <c r="L129" s="177"/>
      <c r="M129" s="161"/>
      <c r="N129" s="161"/>
      <c r="O129" s="161"/>
      <c r="P129" s="161"/>
      <c r="Q129" s="161"/>
      <c r="R129" s="161"/>
      <c r="S129" s="161"/>
      <c r="T129" s="161"/>
      <c r="U129" s="169">
        <v>57</v>
      </c>
      <c r="V129" s="117">
        <v>68</v>
      </c>
      <c r="W129" s="117">
        <v>35</v>
      </c>
      <c r="X129" s="117"/>
      <c r="Y129" s="117"/>
    </row>
    <row r="130" spans="1:25" ht="21" customHeight="1">
      <c r="A130" s="95" t="s">
        <v>162</v>
      </c>
      <c r="B130" s="106">
        <f t="shared" ref="B130:G130" si="36">SUM(B125:B129)</f>
        <v>0</v>
      </c>
      <c r="C130" s="106">
        <f t="shared" si="36"/>
        <v>130</v>
      </c>
      <c r="D130" s="106">
        <f t="shared" si="36"/>
        <v>67</v>
      </c>
      <c r="E130" s="106">
        <f t="shared" si="36"/>
        <v>3</v>
      </c>
      <c r="F130" s="106">
        <f t="shared" si="36"/>
        <v>3</v>
      </c>
      <c r="G130" s="106">
        <f t="shared" si="36"/>
        <v>203</v>
      </c>
      <c r="H130" s="160"/>
      <c r="I130" s="160"/>
      <c r="J130" s="160"/>
      <c r="K130" s="160"/>
      <c r="L130" s="176"/>
      <c r="M130" s="160"/>
      <c r="N130" s="160"/>
      <c r="O130" s="160"/>
      <c r="P130" s="160"/>
      <c r="Q130" s="160"/>
      <c r="R130" s="160"/>
      <c r="S130" s="160"/>
      <c r="T130" s="160"/>
      <c r="U130" s="170">
        <f>SUM(U125:U129)</f>
        <v>304</v>
      </c>
      <c r="V130" s="117">
        <f>SUM(V125:V129)</f>
        <v>343</v>
      </c>
      <c r="W130" s="117">
        <f>SUM(W125:W129)</f>
        <v>61</v>
      </c>
      <c r="Y130" s="117">
        <f>SUM(Y125:Y129)</f>
        <v>2</v>
      </c>
    </row>
    <row r="131" spans="1:25" ht="21" customHeight="1">
      <c r="A131" s="99" t="s">
        <v>48</v>
      </c>
      <c r="B131" s="99"/>
      <c r="C131" s="123"/>
      <c r="D131" s="109"/>
      <c r="E131" s="109"/>
      <c r="F131" s="109"/>
      <c r="G131" s="109"/>
      <c r="H131" s="161"/>
      <c r="I131" s="161"/>
      <c r="J131" s="161"/>
      <c r="K131" s="161"/>
      <c r="L131" s="177"/>
      <c r="M131" s="161"/>
      <c r="N131" s="161"/>
      <c r="O131" s="161"/>
      <c r="P131" s="161"/>
      <c r="Q131" s="161"/>
      <c r="R131" s="161"/>
      <c r="S131" s="161"/>
      <c r="T131" s="161"/>
      <c r="U131" s="261"/>
    </row>
    <row r="132" spans="1:25" ht="21" customHeight="1">
      <c r="A132" s="100" t="s">
        <v>108</v>
      </c>
      <c r="B132" s="100"/>
      <c r="C132" s="124"/>
      <c r="D132" s="108"/>
      <c r="E132" s="108"/>
      <c r="F132" s="108">
        <v>2</v>
      </c>
      <c r="G132" s="108">
        <f>SUM(B132:F132)</f>
        <v>2</v>
      </c>
      <c r="H132" s="161"/>
      <c r="I132" s="161"/>
      <c r="J132" s="161"/>
      <c r="K132" s="161"/>
      <c r="L132" s="177"/>
      <c r="M132" s="161"/>
      <c r="N132" s="161"/>
      <c r="O132" s="161"/>
      <c r="P132" s="161"/>
      <c r="Q132" s="161"/>
      <c r="R132" s="161"/>
      <c r="S132" s="161"/>
      <c r="T132" s="161"/>
    </row>
    <row r="133" spans="1:25" ht="21" customHeight="1">
      <c r="A133" s="103"/>
      <c r="B133" s="103"/>
      <c r="C133" s="125"/>
      <c r="D133" s="111"/>
      <c r="E133" s="111"/>
      <c r="F133" s="111"/>
      <c r="G133" s="111"/>
      <c r="H133" s="161"/>
      <c r="I133" s="161"/>
      <c r="J133" s="161"/>
      <c r="K133" s="161"/>
      <c r="L133" s="177"/>
      <c r="M133" s="161"/>
      <c r="N133" s="161"/>
      <c r="O133" s="161"/>
      <c r="P133" s="161"/>
      <c r="Q133" s="161"/>
      <c r="R133" s="161"/>
      <c r="S133" s="161"/>
      <c r="T133" s="161"/>
    </row>
    <row r="134" spans="1:25" ht="21" customHeight="1">
      <c r="A134" s="95" t="s">
        <v>3</v>
      </c>
      <c r="B134" s="106">
        <f t="shared" ref="B134:G134" si="37">SUM(B132:B133)</f>
        <v>0</v>
      </c>
      <c r="C134" s="106">
        <f t="shared" si="37"/>
        <v>0</v>
      </c>
      <c r="D134" s="106">
        <f t="shared" si="37"/>
        <v>0</v>
      </c>
      <c r="E134" s="106">
        <f t="shared" si="37"/>
        <v>0</v>
      </c>
      <c r="F134" s="106">
        <f t="shared" si="37"/>
        <v>2</v>
      </c>
      <c r="G134" s="106">
        <f t="shared" si="37"/>
        <v>2</v>
      </c>
      <c r="H134" s="160"/>
      <c r="I134" s="160"/>
      <c r="J134" s="160"/>
      <c r="K134" s="160"/>
      <c r="L134" s="176"/>
      <c r="M134" s="160"/>
      <c r="N134" s="160"/>
      <c r="O134" s="160"/>
      <c r="P134" s="160"/>
      <c r="Q134" s="160"/>
      <c r="R134" s="160"/>
      <c r="S134" s="160"/>
      <c r="T134" s="160"/>
    </row>
    <row r="135" spans="1:25" ht="21" customHeight="1">
      <c r="A135" s="279" t="s">
        <v>36</v>
      </c>
      <c r="B135" s="280">
        <f t="shared" ref="B135:G135" si="38">SUM(B5,B30,B51,B78,B98,B112)</f>
        <v>0</v>
      </c>
      <c r="C135" s="280">
        <f t="shared" si="38"/>
        <v>2567</v>
      </c>
      <c r="D135" s="280">
        <f t="shared" si="38"/>
        <v>2181</v>
      </c>
      <c r="E135" s="280">
        <f t="shared" si="38"/>
        <v>2424</v>
      </c>
      <c r="F135" s="280">
        <f t="shared" si="38"/>
        <v>1253</v>
      </c>
      <c r="G135" s="280">
        <f t="shared" si="38"/>
        <v>8425</v>
      </c>
      <c r="H135" s="162"/>
      <c r="I135" s="162"/>
      <c r="J135" s="162"/>
      <c r="K135" s="162">
        <f>8241+2932+46</f>
        <v>11219</v>
      </c>
      <c r="L135" s="178"/>
      <c r="M135" s="162"/>
      <c r="N135" s="162"/>
      <c r="O135" s="162"/>
      <c r="P135" s="162"/>
      <c r="Q135" s="162"/>
      <c r="R135" s="162"/>
      <c r="S135" s="162"/>
      <c r="T135" s="162"/>
      <c r="W135" s="117">
        <f>SUM(W5:W134)</f>
        <v>10892</v>
      </c>
    </row>
    <row r="136" spans="1:25" ht="21" hidden="1" customHeight="1">
      <c r="D136" s="112">
        <f>3685</f>
        <v>3685</v>
      </c>
      <c r="E136" s="112">
        <v>3141</v>
      </c>
      <c r="F136" s="112">
        <v>2290</v>
      </c>
    </row>
    <row r="137" spans="1:25" ht="21" hidden="1" customHeight="1">
      <c r="D137" s="112">
        <f>6+5</f>
        <v>11</v>
      </c>
      <c r="E137" s="112">
        <f>19+9+4</f>
        <v>32</v>
      </c>
      <c r="F137" s="112">
        <f>3+3+8</f>
        <v>14</v>
      </c>
    </row>
    <row r="138" spans="1:25" ht="21" hidden="1" customHeight="1">
      <c r="D138" s="112">
        <f>SUM(D136:D137)</f>
        <v>3696</v>
      </c>
      <c r="E138" s="112">
        <f>SUM(E136:E137)</f>
        <v>3173</v>
      </c>
      <c r="F138" s="112">
        <f>SUM(F136:F137)</f>
        <v>2304</v>
      </c>
      <c r="G138" s="112">
        <f>SUM(G136:G137)</f>
        <v>0</v>
      </c>
    </row>
    <row r="139" spans="1:25" ht="21" hidden="1" customHeight="1">
      <c r="D139" s="180" t="s">
        <v>132</v>
      </c>
      <c r="E139" s="180" t="s">
        <v>99</v>
      </c>
      <c r="F139" s="180" t="s">
        <v>84</v>
      </c>
    </row>
    <row r="140" spans="1:25" ht="21" hidden="1" customHeight="1">
      <c r="A140" s="126" t="s">
        <v>66</v>
      </c>
      <c r="B140" s="126"/>
      <c r="D140" s="112">
        <f>D135-(6+5)</f>
        <v>2170</v>
      </c>
    </row>
    <row r="141" spans="1:25" ht="21" hidden="1" customHeight="1">
      <c r="A141" s="126" t="s">
        <v>51</v>
      </c>
      <c r="B141" s="126"/>
      <c r="D141" s="112">
        <f>D23+D50+D77</f>
        <v>0</v>
      </c>
      <c r="E141" s="112">
        <f>E23+E50+E77</f>
        <v>6</v>
      </c>
      <c r="F141" s="112">
        <f>F23+F50+F77</f>
        <v>0</v>
      </c>
    </row>
    <row r="142" spans="1:25" ht="21" hidden="1" customHeight="1">
      <c r="A142" s="126" t="s">
        <v>134</v>
      </c>
      <c r="B142" s="126"/>
      <c r="D142" s="112">
        <f>D29</f>
        <v>5</v>
      </c>
    </row>
    <row r="144" spans="1:25" ht="21" customHeight="1">
      <c r="A144" s="335" t="s">
        <v>287</v>
      </c>
      <c r="B144" s="300"/>
      <c r="C144" s="163"/>
      <c r="D144" s="340" t="s">
        <v>155</v>
      </c>
      <c r="E144" s="340" t="s">
        <v>156</v>
      </c>
      <c r="F144" s="340" t="s">
        <v>3</v>
      </c>
      <c r="G144" s="164"/>
    </row>
    <row r="145" spans="1:12" ht="21" customHeight="1">
      <c r="A145" s="181" t="s">
        <v>39</v>
      </c>
      <c r="B145" s="301"/>
      <c r="C145" s="165"/>
      <c r="D145" s="172">
        <f>G20</f>
        <v>3193</v>
      </c>
      <c r="E145" s="172"/>
      <c r="F145" s="172">
        <f>SUM(D145:E145)</f>
        <v>3193</v>
      </c>
      <c r="G145" s="166">
        <f>F145+F146+F147</f>
        <v>8379</v>
      </c>
      <c r="K145" s="112" t="e">
        <f>C135+D135+E135+F135+#REF!</f>
        <v>#REF!</v>
      </c>
      <c r="L145" s="179">
        <f>8241+2932</f>
        <v>11173</v>
      </c>
    </row>
    <row r="146" spans="1:12" ht="21" customHeight="1">
      <c r="A146" s="181" t="s">
        <v>149</v>
      </c>
      <c r="B146" s="301"/>
      <c r="C146" s="165"/>
      <c r="D146" s="172">
        <f>G111+G124</f>
        <v>2662</v>
      </c>
      <c r="E146" s="172">
        <f>G42+G62+G78</f>
        <v>2210</v>
      </c>
      <c r="F146" s="172">
        <f>SUM(D146:E146)</f>
        <v>4872</v>
      </c>
      <c r="G146" s="166"/>
      <c r="K146" s="112">
        <f>F148+F149</f>
        <v>46</v>
      </c>
    </row>
    <row r="147" spans="1:12" ht="21" customHeight="1">
      <c r="A147" s="181" t="s">
        <v>41</v>
      </c>
      <c r="B147" s="301"/>
      <c r="C147" s="165"/>
      <c r="D147" s="172">
        <f>G130</f>
        <v>203</v>
      </c>
      <c r="E147" s="172">
        <f>G73</f>
        <v>111</v>
      </c>
      <c r="F147" s="172">
        <f>SUM(D147:E147)</f>
        <v>314</v>
      </c>
      <c r="G147" s="166"/>
      <c r="K147" s="112" t="e">
        <f>K145-K146</f>
        <v>#REF!</v>
      </c>
    </row>
    <row r="148" spans="1:12" ht="21" customHeight="1">
      <c r="A148" s="181" t="s">
        <v>150</v>
      </c>
      <c r="B148" s="301"/>
      <c r="C148" s="165"/>
      <c r="D148" s="172">
        <f>G134</f>
        <v>2</v>
      </c>
      <c r="E148" s="172">
        <f>G47+G77</f>
        <v>11</v>
      </c>
      <c r="F148" s="172">
        <f>SUM(D148:E148)</f>
        <v>13</v>
      </c>
      <c r="G148" s="166">
        <f>F148</f>
        <v>13</v>
      </c>
    </row>
    <row r="149" spans="1:12" ht="21" customHeight="1">
      <c r="A149" s="181" t="s">
        <v>151</v>
      </c>
      <c r="B149" s="301"/>
      <c r="C149" s="165"/>
      <c r="D149" s="172">
        <f>G29</f>
        <v>30</v>
      </c>
      <c r="E149" s="172">
        <f>G50</f>
        <v>3</v>
      </c>
      <c r="F149" s="172">
        <f>SUM(D149:E149)</f>
        <v>33</v>
      </c>
      <c r="G149" s="166">
        <f>F149</f>
        <v>33</v>
      </c>
    </row>
    <row r="150" spans="1:12" ht="21" customHeight="1">
      <c r="A150" s="322" t="s">
        <v>283</v>
      </c>
      <c r="B150" s="302"/>
      <c r="C150" s="167"/>
      <c r="D150" s="340">
        <f>SUM(D145:D149)</f>
        <v>6090</v>
      </c>
      <c r="E150" s="340">
        <f>SUM(E145:E149)</f>
        <v>2335</v>
      </c>
      <c r="F150" s="799">
        <f>D150+E150</f>
        <v>8425</v>
      </c>
      <c r="G150" s="799"/>
      <c r="K150" s="112">
        <f>8241</f>
        <v>8241</v>
      </c>
    </row>
    <row r="151" spans="1:12" ht="21" customHeight="1">
      <c r="K151" s="112">
        <v>2932</v>
      </c>
    </row>
    <row r="152" spans="1:12" ht="21" customHeight="1">
      <c r="K152" s="112">
        <v>46</v>
      </c>
    </row>
    <row r="153" spans="1:12" ht="21" customHeight="1">
      <c r="K153" s="112">
        <f>SUM(K150:K152)</f>
        <v>11219</v>
      </c>
    </row>
    <row r="154" spans="1:12" ht="21" customHeight="1">
      <c r="K154" s="112">
        <f>K153-G135</f>
        <v>2794</v>
      </c>
    </row>
  </sheetData>
  <mergeCells count="13">
    <mergeCell ref="L16:R16"/>
    <mergeCell ref="L17:L18"/>
    <mergeCell ref="M17:Q17"/>
    <mergeCell ref="R17:R18"/>
    <mergeCell ref="F150:G150"/>
    <mergeCell ref="A1:G1"/>
    <mergeCell ref="A2:G2"/>
    <mergeCell ref="L2:R2"/>
    <mergeCell ref="A3:A4"/>
    <mergeCell ref="B3:G3"/>
    <mergeCell ref="L4:L5"/>
    <mergeCell ref="M4:Q4"/>
    <mergeCell ref="R4:R5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5"/>
  <sheetViews>
    <sheetView view="pageBreakPreview" zoomScale="130" zoomScaleSheetLayoutView="130" workbookViewId="0">
      <pane xSplit="1" ySplit="4" topLeftCell="E11" activePane="bottomRight" state="frozen"/>
      <selection pane="topRight" activeCell="B1" sqref="B1"/>
      <selection pane="bottomLeft" activeCell="A3" sqref="A3"/>
      <selection pane="bottomRight" activeCell="Q3" sqref="Q3"/>
    </sheetView>
  </sheetViews>
  <sheetFormatPr defaultRowHeight="21"/>
  <cols>
    <col min="1" max="1" width="37.140625" style="93" customWidth="1"/>
    <col min="2" max="2" width="6.85546875" style="93" customWidth="1"/>
    <col min="3" max="3" width="7" style="93" customWidth="1"/>
    <col min="4" max="4" width="7.28515625" style="93" customWidth="1"/>
    <col min="5" max="5" width="7.140625" style="93" customWidth="1"/>
    <col min="6" max="6" width="7.28515625" style="93" customWidth="1"/>
    <col min="7" max="8" width="7.7109375" style="93" customWidth="1"/>
    <col min="9" max="9" width="8.42578125" style="93" customWidth="1"/>
    <col min="10" max="15" width="0" style="93" hidden="1" customWidth="1"/>
    <col min="16" max="16" width="8.5703125" style="93" hidden="1" customWidth="1"/>
    <col min="17" max="17" width="26.42578125" style="93" customWidth="1"/>
    <col min="18" max="20" width="8.5703125" style="93" customWidth="1"/>
    <col min="21" max="16384" width="9.140625" style="93"/>
  </cols>
  <sheetData>
    <row r="1" spans="1:25">
      <c r="A1" s="803" t="s">
        <v>285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2"/>
      <c r="Q1" s="354"/>
      <c r="R1" s="354"/>
      <c r="S1" s="354"/>
      <c r="T1" s="354"/>
    </row>
    <row r="2" spans="1:25">
      <c r="B2" s="801" t="s">
        <v>131</v>
      </c>
      <c r="C2" s="801"/>
      <c r="D2" s="801"/>
      <c r="E2" s="801"/>
      <c r="F2" s="801"/>
      <c r="G2" s="801"/>
      <c r="H2" s="802"/>
      <c r="I2" s="804" t="s">
        <v>3</v>
      </c>
    </row>
    <row r="3" spans="1:25">
      <c r="A3" s="788" t="s">
        <v>0</v>
      </c>
      <c r="B3" s="357">
        <v>2551</v>
      </c>
      <c r="C3" s="357">
        <v>2552</v>
      </c>
      <c r="D3" s="357">
        <v>2553</v>
      </c>
      <c r="E3" s="358" t="s">
        <v>132</v>
      </c>
      <c r="F3" s="358" t="s">
        <v>163</v>
      </c>
      <c r="G3" s="358" t="s">
        <v>230</v>
      </c>
      <c r="H3" s="358" t="s">
        <v>266</v>
      </c>
      <c r="I3" s="805"/>
      <c r="J3" s="359" t="s">
        <v>84</v>
      </c>
      <c r="K3" s="360" t="s">
        <v>85</v>
      </c>
      <c r="L3" s="360" t="s">
        <v>86</v>
      </c>
      <c r="M3" s="360" t="s">
        <v>87</v>
      </c>
      <c r="N3" s="360" t="s">
        <v>88</v>
      </c>
      <c r="O3" s="788" t="s">
        <v>3</v>
      </c>
    </row>
    <row r="4" spans="1:25" ht="12.75" hidden="1" customHeight="1">
      <c r="A4" s="789"/>
      <c r="B4" s="478"/>
      <c r="C4" s="478"/>
      <c r="D4" s="478"/>
      <c r="E4" s="361" t="s">
        <v>1</v>
      </c>
      <c r="F4" s="361" t="s">
        <v>1</v>
      </c>
      <c r="G4" s="361"/>
      <c r="H4" s="361"/>
      <c r="I4" s="361" t="s">
        <v>1</v>
      </c>
      <c r="J4" s="362" t="s">
        <v>1</v>
      </c>
      <c r="K4" s="362"/>
      <c r="L4" s="362"/>
      <c r="M4" s="362"/>
      <c r="N4" s="362" t="s">
        <v>2</v>
      </c>
      <c r="O4" s="807"/>
    </row>
    <row r="5" spans="1:25">
      <c r="A5" s="363" t="s">
        <v>5</v>
      </c>
      <c r="B5" s="363"/>
      <c r="C5" s="363"/>
      <c r="D5" s="363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Q5" s="171"/>
      <c r="R5" s="354"/>
      <c r="S5" s="354"/>
      <c r="T5" s="354"/>
      <c r="U5" s="354"/>
      <c r="V5" s="354"/>
      <c r="W5" s="354"/>
    </row>
    <row r="6" spans="1:25">
      <c r="A6" s="432" t="s">
        <v>92</v>
      </c>
      <c r="B6" s="432"/>
      <c r="C6" s="432"/>
      <c r="D6" s="432">
        <v>12</v>
      </c>
      <c r="E6" s="455">
        <v>82</v>
      </c>
      <c r="F6" s="455"/>
      <c r="G6" s="455"/>
      <c r="H6" s="455"/>
      <c r="I6" s="455">
        <f>SUM(B6:H6)</f>
        <v>94</v>
      </c>
      <c r="J6" s="366">
        <v>52</v>
      </c>
      <c r="K6" s="366">
        <v>64</v>
      </c>
      <c r="L6" s="366">
        <v>20</v>
      </c>
      <c r="M6" s="366">
        <v>54</v>
      </c>
      <c r="N6" s="366"/>
      <c r="O6" s="367">
        <f t="shared" ref="O6:O20" si="0">SUM(I6:N6)</f>
        <v>284</v>
      </c>
      <c r="P6" s="93" t="s">
        <v>39</v>
      </c>
      <c r="Q6" s="793" t="s">
        <v>280</v>
      </c>
      <c r="R6" s="793"/>
      <c r="S6" s="793"/>
      <c r="T6" s="793"/>
      <c r="U6" s="793"/>
      <c r="V6" s="793"/>
      <c r="W6" s="793"/>
    </row>
    <row r="7" spans="1:25">
      <c r="A7" s="429" t="s">
        <v>93</v>
      </c>
      <c r="B7" s="429"/>
      <c r="C7" s="429"/>
      <c r="D7" s="429">
        <v>15</v>
      </c>
      <c r="E7" s="454">
        <v>6</v>
      </c>
      <c r="F7" s="454"/>
      <c r="G7" s="454"/>
      <c r="H7" s="454"/>
      <c r="I7" s="454">
        <f>SUM(B7:H7)</f>
        <v>21</v>
      </c>
      <c r="J7" s="369">
        <v>17</v>
      </c>
      <c r="K7" s="368"/>
      <c r="L7" s="368"/>
      <c r="M7" s="368"/>
      <c r="N7" s="368"/>
      <c r="O7" s="367">
        <f t="shared" si="0"/>
        <v>38</v>
      </c>
      <c r="P7" s="93" t="s">
        <v>39</v>
      </c>
      <c r="Q7" s="171"/>
      <c r="R7" s="354"/>
      <c r="S7" s="354"/>
      <c r="T7" s="354"/>
      <c r="U7" s="354"/>
      <c r="V7" s="354"/>
      <c r="W7" s="354"/>
    </row>
    <row r="8" spans="1:25">
      <c r="A8" s="429" t="s">
        <v>94</v>
      </c>
      <c r="B8" s="429"/>
      <c r="C8" s="429"/>
      <c r="D8" s="429">
        <v>3</v>
      </c>
      <c r="E8" s="454">
        <v>67</v>
      </c>
      <c r="F8" s="454"/>
      <c r="G8" s="454"/>
      <c r="H8" s="454"/>
      <c r="I8" s="454">
        <f t="shared" ref="I8:I13" si="1">SUM(B8:H8)</f>
        <v>70</v>
      </c>
      <c r="J8" s="369">
        <v>27</v>
      </c>
      <c r="K8" s="368"/>
      <c r="L8" s="368"/>
      <c r="M8" s="368"/>
      <c r="N8" s="368"/>
      <c r="O8" s="367">
        <f t="shared" si="0"/>
        <v>97</v>
      </c>
      <c r="P8" s="93" t="s">
        <v>39</v>
      </c>
      <c r="Q8" s="790" t="s">
        <v>201</v>
      </c>
      <c r="R8" s="792" t="s">
        <v>202</v>
      </c>
      <c r="S8" s="792"/>
      <c r="T8" s="792"/>
      <c r="U8" s="792"/>
      <c r="V8" s="792"/>
      <c r="W8" s="785" t="s">
        <v>3</v>
      </c>
    </row>
    <row r="9" spans="1:25">
      <c r="A9" s="250" t="s">
        <v>112</v>
      </c>
      <c r="B9" s="250"/>
      <c r="C9" s="250"/>
      <c r="D9" s="429">
        <v>3</v>
      </c>
      <c r="E9" s="454">
        <v>26</v>
      </c>
      <c r="F9" s="368"/>
      <c r="G9" s="368"/>
      <c r="H9" s="368"/>
      <c r="I9" s="368">
        <f t="shared" si="1"/>
        <v>29</v>
      </c>
      <c r="J9" s="368">
        <v>19</v>
      </c>
      <c r="K9" s="368"/>
      <c r="L9" s="368"/>
      <c r="M9" s="368"/>
      <c r="N9" s="368"/>
      <c r="O9" s="367">
        <f t="shared" si="0"/>
        <v>48</v>
      </c>
      <c r="P9" s="93" t="s">
        <v>41</v>
      </c>
      <c r="Q9" s="806"/>
      <c r="R9" s="172" t="s">
        <v>203</v>
      </c>
      <c r="S9" s="355" t="s">
        <v>204</v>
      </c>
      <c r="T9" s="355" t="s">
        <v>205</v>
      </c>
      <c r="U9" s="355" t="s">
        <v>51</v>
      </c>
      <c r="V9" s="355" t="s">
        <v>134</v>
      </c>
      <c r="W9" s="786"/>
    </row>
    <row r="10" spans="1:25">
      <c r="A10" s="250" t="s">
        <v>113</v>
      </c>
      <c r="B10" s="250"/>
      <c r="C10" s="250"/>
      <c r="D10" s="429">
        <v>11</v>
      </c>
      <c r="E10" s="454">
        <v>27</v>
      </c>
      <c r="F10" s="368"/>
      <c r="G10" s="368"/>
      <c r="H10" s="368"/>
      <c r="I10" s="368">
        <f t="shared" si="1"/>
        <v>38</v>
      </c>
      <c r="J10" s="368"/>
      <c r="K10" s="368"/>
      <c r="L10" s="368"/>
      <c r="M10" s="368"/>
      <c r="N10" s="368"/>
      <c r="O10" s="367">
        <f t="shared" si="0"/>
        <v>38</v>
      </c>
      <c r="P10" s="93" t="s">
        <v>41</v>
      </c>
      <c r="Q10" s="173" t="s">
        <v>200</v>
      </c>
      <c r="R10" s="174">
        <f>บัณฑิตศึกษา!I39</f>
        <v>220</v>
      </c>
      <c r="S10" s="174"/>
      <c r="T10" s="174">
        <f>I20-I19</f>
        <v>410</v>
      </c>
      <c r="U10" s="174">
        <f>บัณฑิตศึกษา!I13</f>
        <v>449</v>
      </c>
      <c r="V10" s="174">
        <f>บัณฑิตศึกษา!I19</f>
        <v>152</v>
      </c>
      <c r="W10" s="174">
        <f t="shared" ref="W10:W18" si="2">SUM(R10:V10)</f>
        <v>1231</v>
      </c>
    </row>
    <row r="11" spans="1:25">
      <c r="A11" s="250" t="s">
        <v>114</v>
      </c>
      <c r="B11" s="250"/>
      <c r="C11" s="250"/>
      <c r="D11" s="429">
        <v>1</v>
      </c>
      <c r="E11" s="454">
        <v>66</v>
      </c>
      <c r="F11" s="368"/>
      <c r="G11" s="368"/>
      <c r="H11" s="368"/>
      <c r="I11" s="368">
        <f t="shared" si="1"/>
        <v>67</v>
      </c>
      <c r="J11" s="368"/>
      <c r="K11" s="368"/>
      <c r="L11" s="368"/>
      <c r="M11" s="368"/>
      <c r="N11" s="368"/>
      <c r="O11" s="367">
        <f t="shared" si="0"/>
        <v>67</v>
      </c>
      <c r="Q11" s="173" t="s">
        <v>206</v>
      </c>
      <c r="R11" s="174"/>
      <c r="S11" s="174">
        <f>I58</f>
        <v>462</v>
      </c>
      <c r="T11" s="174"/>
      <c r="U11" s="174">
        <f>บัณฑิตศึกษา!I28</f>
        <v>14</v>
      </c>
      <c r="V11" s="174"/>
      <c r="W11" s="174">
        <f t="shared" si="2"/>
        <v>476</v>
      </c>
    </row>
    <row r="12" spans="1:25">
      <c r="A12" s="250" t="s">
        <v>115</v>
      </c>
      <c r="B12" s="250"/>
      <c r="C12" s="250"/>
      <c r="D12" s="250"/>
      <c r="E12" s="454">
        <v>34</v>
      </c>
      <c r="F12" s="368"/>
      <c r="G12" s="368"/>
      <c r="H12" s="368"/>
      <c r="I12" s="368">
        <f t="shared" si="1"/>
        <v>34</v>
      </c>
      <c r="J12" s="369"/>
      <c r="K12" s="368"/>
      <c r="L12" s="368"/>
      <c r="M12" s="368"/>
      <c r="N12" s="368"/>
      <c r="O12" s="367">
        <f t="shared" si="0"/>
        <v>34</v>
      </c>
      <c r="P12" s="370">
        <v>526</v>
      </c>
      <c r="Q12" s="173" t="s">
        <v>197</v>
      </c>
      <c r="R12" s="174">
        <f>I68+I79</f>
        <v>240</v>
      </c>
      <c r="S12" s="174">
        <f>I82-R12</f>
        <v>496</v>
      </c>
      <c r="T12" s="174"/>
      <c r="U12" s="174">
        <f>บัณฑิตศึกษา!I34</f>
        <v>86</v>
      </c>
      <c r="V12" s="174">
        <f>บัณฑิตศึกษา!I35</f>
        <v>40</v>
      </c>
      <c r="W12" s="174">
        <f t="shared" si="2"/>
        <v>862</v>
      </c>
    </row>
    <row r="13" spans="1:25">
      <c r="A13" s="250" t="s">
        <v>96</v>
      </c>
      <c r="B13" s="250"/>
      <c r="C13" s="250"/>
      <c r="D13" s="429">
        <v>3</v>
      </c>
      <c r="E13" s="454">
        <v>37</v>
      </c>
      <c r="F13" s="368"/>
      <c r="G13" s="368"/>
      <c r="H13" s="368"/>
      <c r="I13" s="368">
        <f t="shared" si="1"/>
        <v>40</v>
      </c>
      <c r="J13" s="368"/>
      <c r="K13" s="368"/>
      <c r="L13" s="368"/>
      <c r="M13" s="368"/>
      <c r="N13" s="368"/>
      <c r="O13" s="367">
        <f t="shared" si="0"/>
        <v>40</v>
      </c>
      <c r="P13" s="370">
        <v>116</v>
      </c>
      <c r="Q13" s="106" t="s">
        <v>3</v>
      </c>
      <c r="R13" s="106">
        <f>SUM(R10:R12)</f>
        <v>460</v>
      </c>
      <c r="S13" s="106">
        <f t="shared" ref="S13:W13" si="3">SUM(S10:S12)</f>
        <v>958</v>
      </c>
      <c r="T13" s="106">
        <f t="shared" si="3"/>
        <v>410</v>
      </c>
      <c r="U13" s="106">
        <f t="shared" si="3"/>
        <v>549</v>
      </c>
      <c r="V13" s="106">
        <f t="shared" si="3"/>
        <v>192</v>
      </c>
      <c r="W13" s="106">
        <f t="shared" si="3"/>
        <v>2569</v>
      </c>
      <c r="X13" s="93">
        <v>153</v>
      </c>
      <c r="Y13" s="117">
        <f>SUM(W13:X13)</f>
        <v>2722</v>
      </c>
    </row>
    <row r="14" spans="1:25">
      <c r="A14" s="429" t="s">
        <v>10</v>
      </c>
      <c r="B14" s="429"/>
      <c r="C14" s="429"/>
      <c r="D14" s="429"/>
      <c r="E14" s="454">
        <v>17</v>
      </c>
      <c r="F14" s="454"/>
      <c r="G14" s="454"/>
      <c r="H14" s="454"/>
      <c r="I14" s="454">
        <f>SUM(B14:H14)</f>
        <v>17</v>
      </c>
      <c r="J14" s="369">
        <v>24</v>
      </c>
      <c r="K14" s="368"/>
      <c r="L14" s="368"/>
      <c r="M14" s="368"/>
      <c r="N14" s="368"/>
      <c r="O14" s="367">
        <f t="shared" si="0"/>
        <v>41</v>
      </c>
      <c r="Q14" s="173" t="s">
        <v>199</v>
      </c>
      <c r="R14" s="174"/>
      <c r="S14" s="174">
        <f>I40</f>
        <v>60</v>
      </c>
      <c r="T14" s="174"/>
      <c r="U14" s="174" t="e">
        <f>บัณฑิตศึกษา!I23+บัณฑิตศึกษา!I21+บัณฑิตศึกษา!#REF!</f>
        <v>#REF!</v>
      </c>
      <c r="V14" s="174">
        <f>บัณฑิตศึกษา!I22</f>
        <v>1</v>
      </c>
      <c r="W14" s="174" t="e">
        <f t="shared" si="2"/>
        <v>#REF!</v>
      </c>
    </row>
    <row r="15" spans="1:25" hidden="1">
      <c r="A15" s="250"/>
      <c r="B15" s="250"/>
      <c r="C15" s="250"/>
      <c r="D15" s="250"/>
      <c r="E15" s="368"/>
      <c r="F15" s="368"/>
      <c r="G15" s="368"/>
      <c r="H15" s="368"/>
      <c r="I15" s="368"/>
      <c r="J15" s="369">
        <v>142</v>
      </c>
      <c r="K15" s="369">
        <v>334</v>
      </c>
      <c r="L15" s="369">
        <v>9</v>
      </c>
      <c r="M15" s="368">
        <v>1</v>
      </c>
      <c r="N15" s="368"/>
      <c r="O15" s="367">
        <f t="shared" si="0"/>
        <v>486</v>
      </c>
      <c r="P15" s="93" t="s">
        <v>39</v>
      </c>
      <c r="Q15" s="173" t="s">
        <v>17</v>
      </c>
      <c r="R15" s="174"/>
      <c r="S15" s="174"/>
      <c r="T15" s="174"/>
      <c r="U15" s="174"/>
      <c r="V15" s="174"/>
      <c r="W15" s="174">
        <f t="shared" si="2"/>
        <v>0</v>
      </c>
    </row>
    <row r="16" spans="1:25" hidden="1">
      <c r="A16" s="250" t="s">
        <v>7</v>
      </c>
      <c r="B16" s="250"/>
      <c r="C16" s="250"/>
      <c r="D16" s="250"/>
      <c r="E16" s="368"/>
      <c r="F16" s="368"/>
      <c r="G16" s="368"/>
      <c r="H16" s="368"/>
      <c r="I16" s="368"/>
      <c r="J16" s="369">
        <v>36</v>
      </c>
      <c r="K16" s="368"/>
      <c r="L16" s="368"/>
      <c r="M16" s="368"/>
      <c r="N16" s="368"/>
      <c r="O16" s="367">
        <f t="shared" si="0"/>
        <v>36</v>
      </c>
      <c r="Q16" s="173" t="s">
        <v>198</v>
      </c>
      <c r="R16" s="174"/>
      <c r="S16" s="174"/>
      <c r="T16" s="174"/>
      <c r="U16" s="174"/>
      <c r="V16" s="174"/>
      <c r="W16" s="174">
        <f t="shared" si="2"/>
        <v>0</v>
      </c>
    </row>
    <row r="17" spans="1:27" hidden="1">
      <c r="A17" s="250"/>
      <c r="B17" s="250"/>
      <c r="C17" s="250"/>
      <c r="D17" s="250"/>
      <c r="E17" s="368"/>
      <c r="F17" s="368"/>
      <c r="G17" s="368"/>
      <c r="H17" s="368"/>
      <c r="I17" s="368"/>
      <c r="J17" s="369">
        <v>42</v>
      </c>
      <c r="K17" s="369">
        <v>48</v>
      </c>
      <c r="L17" s="369">
        <v>7</v>
      </c>
      <c r="M17" s="368"/>
      <c r="N17" s="368"/>
      <c r="O17" s="367">
        <f t="shared" si="0"/>
        <v>97</v>
      </c>
      <c r="P17" s="93" t="s">
        <v>41</v>
      </c>
      <c r="Q17" s="182" t="s">
        <v>3</v>
      </c>
      <c r="R17" s="106"/>
      <c r="S17" s="106"/>
      <c r="T17" s="106"/>
      <c r="U17" s="106"/>
      <c r="V17" s="106"/>
      <c r="W17" s="174">
        <f t="shared" si="2"/>
        <v>0</v>
      </c>
    </row>
    <row r="18" spans="1:27" hidden="1">
      <c r="A18" s="250" t="s">
        <v>9</v>
      </c>
      <c r="B18" s="250"/>
      <c r="C18" s="250"/>
      <c r="D18" s="250"/>
      <c r="E18" s="368"/>
      <c r="F18" s="368"/>
      <c r="G18" s="368"/>
      <c r="H18" s="368"/>
      <c r="I18" s="368"/>
      <c r="J18" s="369">
        <v>36</v>
      </c>
      <c r="K18" s="368"/>
      <c r="L18" s="368"/>
      <c r="M18" s="368"/>
      <c r="N18" s="368"/>
      <c r="O18" s="367">
        <f t="shared" si="0"/>
        <v>36</v>
      </c>
      <c r="Q18" s="182" t="s">
        <v>59</v>
      </c>
      <c r="R18" s="106"/>
      <c r="S18" s="106"/>
      <c r="T18" s="106"/>
      <c r="U18" s="106"/>
      <c r="V18" s="106"/>
      <c r="W18" s="106">
        <f t="shared" si="2"/>
        <v>0</v>
      </c>
    </row>
    <row r="19" spans="1:27">
      <c r="A19" s="371" t="s">
        <v>40</v>
      </c>
      <c r="B19" s="371"/>
      <c r="C19" s="371"/>
      <c r="D19" s="371"/>
      <c r="E19" s="372"/>
      <c r="F19" s="373"/>
      <c r="G19" s="374"/>
      <c r="H19" s="374"/>
      <c r="I19" s="374">
        <f>SUM(B19:G19)</f>
        <v>0</v>
      </c>
      <c r="J19" s="375">
        <v>117</v>
      </c>
      <c r="K19" s="375">
        <v>146</v>
      </c>
      <c r="L19" s="376">
        <v>22</v>
      </c>
      <c r="M19" s="376"/>
      <c r="N19" s="376"/>
      <c r="O19" s="367">
        <f t="shared" si="0"/>
        <v>285</v>
      </c>
      <c r="Q19" s="173" t="s">
        <v>17</v>
      </c>
      <c r="R19" s="377"/>
      <c r="S19" s="378">
        <f>I44</f>
        <v>8</v>
      </c>
      <c r="T19" s="377"/>
      <c r="U19" s="377"/>
      <c r="V19" s="377"/>
      <c r="W19" s="378">
        <f>SUM(R19:V19)</f>
        <v>8</v>
      </c>
      <c r="Y19" s="372">
        <v>23</v>
      </c>
      <c r="Z19" s="373">
        <f>101+202</f>
        <v>303</v>
      </c>
    </row>
    <row r="20" spans="1:27">
      <c r="A20" s="95" t="s">
        <v>3</v>
      </c>
      <c r="B20" s="95">
        <f t="shared" ref="B20:N20" si="4">SUM(B6:B19)</f>
        <v>0</v>
      </c>
      <c r="C20" s="95">
        <f t="shared" si="4"/>
        <v>0</v>
      </c>
      <c r="D20" s="95">
        <f t="shared" si="4"/>
        <v>48</v>
      </c>
      <c r="E20" s="95">
        <f>SUM(E6:E19)</f>
        <v>362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>SUM(I6:I19)</f>
        <v>410</v>
      </c>
      <c r="J20" s="95">
        <f t="shared" si="4"/>
        <v>512</v>
      </c>
      <c r="K20" s="95">
        <f t="shared" si="4"/>
        <v>592</v>
      </c>
      <c r="L20" s="95">
        <f t="shared" si="4"/>
        <v>58</v>
      </c>
      <c r="M20" s="95">
        <f t="shared" si="4"/>
        <v>55</v>
      </c>
      <c r="N20" s="95">
        <f t="shared" si="4"/>
        <v>0</v>
      </c>
      <c r="O20" s="379">
        <f t="shared" si="0"/>
        <v>1627</v>
      </c>
      <c r="P20" s="380">
        <f>1563+44+26+48+23+18+56+38</f>
        <v>1816</v>
      </c>
      <c r="Q20" s="173" t="s">
        <v>198</v>
      </c>
      <c r="R20" s="381">
        <f>I31+I32+I33+I34+I35</f>
        <v>136</v>
      </c>
      <c r="S20" s="381">
        <f>I36-R20</f>
        <v>40</v>
      </c>
      <c r="T20" s="95"/>
      <c r="U20" s="378">
        <f>บัณฑิตศึกษา!I32</f>
        <v>0</v>
      </c>
      <c r="V20" s="377"/>
      <c r="W20" s="378">
        <f>SUM(R20:V20)</f>
        <v>176</v>
      </c>
      <c r="X20" s="169"/>
      <c r="Y20" s="169"/>
    </row>
    <row r="21" spans="1:27">
      <c r="A21" s="382" t="s">
        <v>15</v>
      </c>
      <c r="B21" s="382"/>
      <c r="C21" s="382"/>
      <c r="D21" s="382"/>
      <c r="E21" s="383"/>
      <c r="F21" s="384"/>
      <c r="G21" s="383"/>
      <c r="H21" s="383"/>
      <c r="I21" s="383"/>
      <c r="J21" s="383"/>
      <c r="K21" s="383"/>
      <c r="L21" s="383"/>
      <c r="M21" s="383"/>
      <c r="N21" s="383"/>
      <c r="O21" s="385"/>
      <c r="P21" s="93">
        <f>1844-1816</f>
        <v>28</v>
      </c>
      <c r="Q21" s="182" t="s">
        <v>3</v>
      </c>
      <c r="R21" s="106">
        <f t="shared" ref="R21:W21" si="5">SUM(R14:R20)</f>
        <v>136</v>
      </c>
      <c r="S21" s="106">
        <f t="shared" si="5"/>
        <v>108</v>
      </c>
      <c r="T21" s="106">
        <f t="shared" si="5"/>
        <v>0</v>
      </c>
      <c r="U21" s="106" t="e">
        <f t="shared" si="5"/>
        <v>#REF!</v>
      </c>
      <c r="V21" s="106">
        <f t="shared" si="5"/>
        <v>1</v>
      </c>
      <c r="W21" s="106" t="e">
        <f t="shared" si="5"/>
        <v>#REF!</v>
      </c>
    </row>
    <row r="22" spans="1:27">
      <c r="A22" s="99" t="s">
        <v>125</v>
      </c>
      <c r="B22" s="99"/>
      <c r="C22" s="99"/>
      <c r="D22" s="99"/>
      <c r="E22" s="386"/>
      <c r="F22" s="461">
        <v>19</v>
      </c>
      <c r="G22" s="462">
        <v>16</v>
      </c>
      <c r="H22" s="484"/>
      <c r="I22" s="368">
        <f t="shared" ref="I22:I34" si="6">SUM(B22:H22)</f>
        <v>35</v>
      </c>
      <c r="J22" s="386"/>
      <c r="K22" s="386"/>
      <c r="L22" s="386"/>
      <c r="M22" s="386"/>
      <c r="N22" s="386"/>
      <c r="O22" s="367">
        <f>SUM(I22:N22)</f>
        <v>35</v>
      </c>
      <c r="Q22" s="182" t="s">
        <v>59</v>
      </c>
      <c r="R22" s="387">
        <f>SUM(R13,R21)</f>
        <v>596</v>
      </c>
      <c r="S22" s="387">
        <f t="shared" ref="S22:W22" si="7">SUM(S13,S21)</f>
        <v>1066</v>
      </c>
      <c r="T22" s="387">
        <f t="shared" si="7"/>
        <v>410</v>
      </c>
      <c r="U22" s="387" t="e">
        <f t="shared" si="7"/>
        <v>#REF!</v>
      </c>
      <c r="V22" s="387">
        <f t="shared" si="7"/>
        <v>193</v>
      </c>
      <c r="W22" s="387" t="e">
        <f t="shared" si="7"/>
        <v>#REF!</v>
      </c>
    </row>
    <row r="23" spans="1:27">
      <c r="A23" s="99" t="s">
        <v>253</v>
      </c>
      <c r="B23" s="99"/>
      <c r="C23" s="99"/>
      <c r="D23" s="426">
        <v>2</v>
      </c>
      <c r="E23" s="460">
        <v>2</v>
      </c>
      <c r="G23" s="484"/>
      <c r="H23" s="484"/>
      <c r="I23" s="368">
        <f t="shared" si="6"/>
        <v>4</v>
      </c>
      <c r="J23" s="388"/>
      <c r="K23" s="388"/>
      <c r="L23" s="388"/>
      <c r="M23" s="388"/>
      <c r="N23" s="388"/>
      <c r="O23" s="367">
        <f>SUM(I23:N23)</f>
        <v>4</v>
      </c>
      <c r="R23" s="800">
        <f>R22+S22+T22</f>
        <v>2072</v>
      </c>
      <c r="S23" s="801"/>
      <c r="T23" s="802"/>
      <c r="U23" s="469" t="e">
        <f>U22+V22</f>
        <v>#REF!</v>
      </c>
      <c r="V23" s="469">
        <f>R10</f>
        <v>220</v>
      </c>
      <c r="W23" s="469" t="e">
        <f>SUM(U23:V23)</f>
        <v>#REF!</v>
      </c>
      <c r="X23" s="470">
        <f>ปกติ!G149+ปกติ!G150</f>
        <v>55</v>
      </c>
      <c r="Y23" s="469" t="e">
        <f>SUM(W23:X23)</f>
        <v>#REF!</v>
      </c>
    </row>
    <row r="24" spans="1:27">
      <c r="A24" s="99" t="s">
        <v>254</v>
      </c>
      <c r="B24" s="99"/>
      <c r="C24" s="99"/>
      <c r="D24" s="99"/>
      <c r="E24" s="388"/>
      <c r="F24" s="389"/>
      <c r="G24" s="388"/>
      <c r="H24" s="388"/>
      <c r="I24" s="368">
        <f t="shared" si="6"/>
        <v>0</v>
      </c>
      <c r="J24" s="390"/>
      <c r="K24" s="390"/>
      <c r="L24" s="388"/>
      <c r="M24" s="388"/>
      <c r="N24" s="388"/>
      <c r="O24" s="367">
        <f t="shared" ref="O24:O82" si="8">SUM(I24:N24)</f>
        <v>0</v>
      </c>
      <c r="Q24" s="93" t="s">
        <v>256</v>
      </c>
      <c r="V24" s="471" t="s">
        <v>294</v>
      </c>
      <c r="W24" s="93">
        <f>841+204</f>
        <v>1045</v>
      </c>
      <c r="X24" s="93">
        <v>67</v>
      </c>
      <c r="Y24" s="93">
        <f>SUM(W24:X24)</f>
        <v>1112</v>
      </c>
      <c r="Z24" s="93">
        <v>46</v>
      </c>
      <c r="AA24" s="93">
        <f>SUM(Y24:Z24)</f>
        <v>1158</v>
      </c>
    </row>
    <row r="25" spans="1:27">
      <c r="A25" s="99" t="s">
        <v>255</v>
      </c>
      <c r="B25" s="99"/>
      <c r="C25" s="99"/>
      <c r="D25" s="99"/>
      <c r="E25" s="456">
        <v>1</v>
      </c>
      <c r="F25" s="391"/>
      <c r="G25" s="388"/>
      <c r="H25" s="388"/>
      <c r="I25" s="368">
        <f t="shared" si="6"/>
        <v>1</v>
      </c>
      <c r="J25" s="386"/>
      <c r="K25" s="386"/>
      <c r="L25" s="386"/>
      <c r="M25" s="386"/>
      <c r="N25" s="386"/>
      <c r="O25" s="367">
        <f t="shared" si="8"/>
        <v>1</v>
      </c>
      <c r="V25" s="471" t="s">
        <v>300</v>
      </c>
    </row>
    <row r="26" spans="1:27" hidden="1">
      <c r="A26" s="99" t="s">
        <v>159</v>
      </c>
      <c r="B26" s="99"/>
      <c r="C26" s="99"/>
      <c r="D26" s="99"/>
      <c r="E26" s="388"/>
      <c r="F26" s="391"/>
      <c r="G26" s="388"/>
      <c r="H26" s="388"/>
      <c r="I26" s="368">
        <f t="shared" si="6"/>
        <v>0</v>
      </c>
      <c r="J26" s="388"/>
      <c r="K26" s="388"/>
      <c r="L26" s="388"/>
      <c r="M26" s="388"/>
      <c r="N26" s="388"/>
      <c r="O26" s="367"/>
    </row>
    <row r="27" spans="1:27" hidden="1">
      <c r="A27" s="99" t="s">
        <v>160</v>
      </c>
      <c r="B27" s="99"/>
      <c r="C27" s="99"/>
      <c r="D27" s="99"/>
      <c r="E27" s="388"/>
      <c r="F27" s="389"/>
      <c r="G27" s="388"/>
      <c r="H27" s="388"/>
      <c r="I27" s="368">
        <f t="shared" si="6"/>
        <v>0</v>
      </c>
      <c r="J27" s="388"/>
      <c r="K27" s="388"/>
      <c r="L27" s="388"/>
      <c r="M27" s="388"/>
      <c r="N27" s="388"/>
      <c r="O27" s="367"/>
    </row>
    <row r="28" spans="1:27" hidden="1">
      <c r="A28" s="99" t="s">
        <v>145</v>
      </c>
      <c r="B28" s="99"/>
      <c r="C28" s="99"/>
      <c r="D28" s="99"/>
      <c r="E28" s="388"/>
      <c r="F28" s="389"/>
      <c r="G28" s="388"/>
      <c r="H28" s="388"/>
      <c r="I28" s="368">
        <f t="shared" si="6"/>
        <v>0</v>
      </c>
      <c r="J28" s="390"/>
      <c r="K28" s="390"/>
      <c r="L28" s="388"/>
      <c r="M28" s="388"/>
      <c r="N28" s="388"/>
      <c r="O28" s="367">
        <f>SUM(I28:N28)</f>
        <v>0</v>
      </c>
    </row>
    <row r="29" spans="1:27" hidden="1">
      <c r="A29" s="99" t="s">
        <v>139</v>
      </c>
      <c r="B29" s="99"/>
      <c r="C29" s="99"/>
      <c r="D29" s="99"/>
      <c r="E29" s="388"/>
      <c r="F29" s="389"/>
      <c r="G29" s="388"/>
      <c r="H29" s="388"/>
      <c r="I29" s="368">
        <f t="shared" si="6"/>
        <v>0</v>
      </c>
      <c r="J29" s="390"/>
      <c r="K29" s="390"/>
      <c r="L29" s="388"/>
      <c r="M29" s="388"/>
      <c r="N29" s="388"/>
      <c r="O29" s="367">
        <f t="shared" si="8"/>
        <v>0</v>
      </c>
    </row>
    <row r="30" spans="1:27" hidden="1">
      <c r="A30" s="99" t="s">
        <v>147</v>
      </c>
      <c r="B30" s="99"/>
      <c r="C30" s="99"/>
      <c r="D30" s="99"/>
      <c r="E30" s="388"/>
      <c r="F30" s="389"/>
      <c r="G30" s="388"/>
      <c r="H30" s="388"/>
      <c r="I30" s="368">
        <f t="shared" si="6"/>
        <v>0</v>
      </c>
      <c r="J30" s="390"/>
      <c r="K30" s="390"/>
      <c r="L30" s="388"/>
      <c r="M30" s="388"/>
      <c r="N30" s="388"/>
      <c r="O30" s="367">
        <f t="shared" ref="O30:O35" si="9">SUM(I30:N30)</f>
        <v>0</v>
      </c>
    </row>
    <row r="31" spans="1:27">
      <c r="A31" s="99" t="s">
        <v>178</v>
      </c>
      <c r="B31" s="99"/>
      <c r="C31" s="99"/>
      <c r="D31" s="99"/>
      <c r="E31" s="386"/>
      <c r="F31" s="463">
        <v>2</v>
      </c>
      <c r="G31" s="460"/>
      <c r="H31" s="460">
        <v>1</v>
      </c>
      <c r="I31" s="454">
        <f t="shared" si="6"/>
        <v>3</v>
      </c>
      <c r="J31" s="386"/>
      <c r="K31" s="386"/>
      <c r="L31" s="386"/>
      <c r="M31" s="386"/>
      <c r="N31" s="386"/>
      <c r="O31" s="367">
        <f t="shared" si="9"/>
        <v>3</v>
      </c>
      <c r="Q31" s="93" t="s">
        <v>286</v>
      </c>
      <c r="T31" s="117">
        <f>T22+S22+R22</f>
        <v>2072</v>
      </c>
      <c r="V31" s="93">
        <f>343-120</f>
        <v>223</v>
      </c>
      <c r="W31" s="93">
        <v>415</v>
      </c>
      <c r="X31" s="93">
        <f>SUM(V31:W31)</f>
        <v>638</v>
      </c>
    </row>
    <row r="32" spans="1:27">
      <c r="A32" s="99" t="s">
        <v>179</v>
      </c>
      <c r="B32" s="99"/>
      <c r="C32" s="99"/>
      <c r="D32" s="99"/>
      <c r="E32" s="388"/>
      <c r="F32" s="464">
        <v>4</v>
      </c>
      <c r="G32" s="460">
        <v>30</v>
      </c>
      <c r="H32" s="460">
        <v>27</v>
      </c>
      <c r="I32" s="454">
        <f t="shared" si="6"/>
        <v>61</v>
      </c>
      <c r="J32" s="388"/>
      <c r="K32" s="388"/>
      <c r="L32" s="388"/>
      <c r="M32" s="388"/>
      <c r="N32" s="388"/>
      <c r="O32" s="367">
        <f t="shared" si="9"/>
        <v>61</v>
      </c>
      <c r="T32" s="93">
        <v>329</v>
      </c>
    </row>
    <row r="33" spans="1:26">
      <c r="A33" s="99" t="s">
        <v>252</v>
      </c>
      <c r="B33" s="99"/>
      <c r="C33" s="99"/>
      <c r="D33" s="99"/>
      <c r="E33" s="388"/>
      <c r="F33" s="389"/>
      <c r="G33" s="388"/>
      <c r="H33" s="388"/>
      <c r="I33" s="368">
        <f t="shared" si="6"/>
        <v>0</v>
      </c>
      <c r="J33" s="388"/>
      <c r="K33" s="388"/>
      <c r="L33" s="388"/>
      <c r="M33" s="388"/>
      <c r="N33" s="388"/>
      <c r="O33" s="367">
        <f t="shared" si="9"/>
        <v>0</v>
      </c>
      <c r="R33" s="93">
        <f>2333+240</f>
        <v>2573</v>
      </c>
      <c r="T33" s="117">
        <f>T31-T32</f>
        <v>1743</v>
      </c>
    </row>
    <row r="34" spans="1:26">
      <c r="A34" s="99" t="s">
        <v>177</v>
      </c>
      <c r="B34" s="99"/>
      <c r="C34" s="99"/>
      <c r="D34" s="99"/>
      <c r="E34" s="388"/>
      <c r="F34" s="464">
        <v>1</v>
      </c>
      <c r="G34" s="460">
        <v>27</v>
      </c>
      <c r="H34" s="460">
        <v>31</v>
      </c>
      <c r="I34" s="454">
        <f t="shared" si="6"/>
        <v>59</v>
      </c>
      <c r="J34" s="388"/>
      <c r="K34" s="388"/>
      <c r="L34" s="388"/>
      <c r="M34" s="388"/>
      <c r="N34" s="388"/>
      <c r="O34" s="367">
        <f t="shared" si="9"/>
        <v>59</v>
      </c>
    </row>
    <row r="35" spans="1:26">
      <c r="A35" s="99" t="s">
        <v>298</v>
      </c>
      <c r="B35" s="99"/>
      <c r="C35" s="99"/>
      <c r="D35" s="99"/>
      <c r="E35" s="388"/>
      <c r="F35" s="389"/>
      <c r="G35" s="465">
        <v>13</v>
      </c>
      <c r="H35" s="385"/>
      <c r="I35" s="388">
        <f>SUM(B35:H35)</f>
        <v>13</v>
      </c>
      <c r="J35" s="390"/>
      <c r="K35" s="390"/>
      <c r="L35" s="388"/>
      <c r="M35" s="388"/>
      <c r="N35" s="388"/>
      <c r="O35" s="367">
        <f t="shared" si="9"/>
        <v>13</v>
      </c>
      <c r="S35" s="93">
        <f>1852+216</f>
        <v>2068</v>
      </c>
    </row>
    <row r="36" spans="1:26">
      <c r="A36" s="95" t="s">
        <v>3</v>
      </c>
      <c r="B36" s="392">
        <f t="shared" ref="B36:I36" si="10">SUM(B22:B35)</f>
        <v>0</v>
      </c>
      <c r="C36" s="392">
        <f t="shared" si="10"/>
        <v>0</v>
      </c>
      <c r="D36" s="392">
        <f t="shared" si="10"/>
        <v>2</v>
      </c>
      <c r="E36" s="392">
        <f t="shared" si="10"/>
        <v>3</v>
      </c>
      <c r="F36" s="392">
        <f t="shared" si="10"/>
        <v>26</v>
      </c>
      <c r="G36" s="392">
        <f t="shared" si="10"/>
        <v>86</v>
      </c>
      <c r="H36" s="392">
        <f t="shared" si="10"/>
        <v>59</v>
      </c>
      <c r="I36" s="392">
        <f t="shared" si="10"/>
        <v>176</v>
      </c>
      <c r="J36" s="392">
        <f>SUM(J24:J26)</f>
        <v>0</v>
      </c>
      <c r="K36" s="392">
        <f>SUM(K24:K26)</f>
        <v>0</v>
      </c>
      <c r="L36" s="392">
        <f>SUM(L24:L26)</f>
        <v>0</v>
      </c>
      <c r="M36" s="392">
        <f>SUM(M24:M26)</f>
        <v>0</v>
      </c>
      <c r="N36" s="392">
        <f>SUM(N24:N26)</f>
        <v>0</v>
      </c>
      <c r="O36" s="379">
        <f t="shared" si="8"/>
        <v>176</v>
      </c>
      <c r="P36" s="393">
        <f>138+24+17</f>
        <v>179</v>
      </c>
      <c r="Q36" s="394">
        <f>G36</f>
        <v>86</v>
      </c>
      <c r="R36" s="394"/>
      <c r="S36" s="394"/>
      <c r="T36" s="394"/>
      <c r="V36" s="395">
        <f>E36</f>
        <v>3</v>
      </c>
      <c r="W36" s="93" t="s">
        <v>148</v>
      </c>
    </row>
    <row r="37" spans="1:26">
      <c r="A37" s="396" t="s">
        <v>11</v>
      </c>
      <c r="B37" s="396"/>
      <c r="C37" s="396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67">
        <f>SUM(I37:N37)</f>
        <v>0</v>
      </c>
    </row>
    <row r="38" spans="1:26" s="461" customFormat="1">
      <c r="A38" s="451" t="s">
        <v>90</v>
      </c>
      <c r="B38" s="451"/>
      <c r="C38" s="451"/>
      <c r="D38" s="452"/>
      <c r="E38" s="453"/>
      <c r="F38" s="453">
        <v>16</v>
      </c>
      <c r="G38" s="453">
        <v>20</v>
      </c>
      <c r="H38" s="453">
        <v>24</v>
      </c>
      <c r="I38" s="453">
        <f>SUM(B38:H38)</f>
        <v>60</v>
      </c>
      <c r="J38" s="453"/>
      <c r="K38" s="453"/>
      <c r="L38" s="453"/>
      <c r="M38" s="475">
        <v>26</v>
      </c>
      <c r="N38" s="475"/>
      <c r="O38" s="459">
        <f>SUM(I38:N38)</f>
        <v>86</v>
      </c>
      <c r="U38" s="476">
        <v>120</v>
      </c>
    </row>
    <row r="39" spans="1:26">
      <c r="A39" s="100" t="s">
        <v>91</v>
      </c>
      <c r="B39" s="100"/>
      <c r="C39" s="100"/>
      <c r="D39" s="100"/>
      <c r="E39" s="386"/>
      <c r="F39" s="386"/>
      <c r="G39" s="386"/>
      <c r="H39" s="386"/>
      <c r="I39" s="386">
        <f>SUM(B39:H39)</f>
        <v>0</v>
      </c>
      <c r="J39" s="386"/>
      <c r="K39" s="386"/>
      <c r="L39" s="386"/>
      <c r="M39" s="399">
        <v>12</v>
      </c>
      <c r="N39" s="386"/>
      <c r="O39" s="367">
        <f>SUM(I39:N39)</f>
        <v>12</v>
      </c>
    </row>
    <row r="40" spans="1:26">
      <c r="A40" s="95" t="s">
        <v>3</v>
      </c>
      <c r="B40" s="392">
        <f t="shared" ref="B40:N40" si="11">SUM(B38:B39)</f>
        <v>0</v>
      </c>
      <c r="C40" s="392">
        <f t="shared" si="11"/>
        <v>0</v>
      </c>
      <c r="D40" s="392">
        <f t="shared" si="11"/>
        <v>0</v>
      </c>
      <c r="E40" s="392">
        <f t="shared" si="11"/>
        <v>0</v>
      </c>
      <c r="F40" s="392">
        <f t="shared" si="11"/>
        <v>16</v>
      </c>
      <c r="G40" s="392">
        <f t="shared" si="11"/>
        <v>20</v>
      </c>
      <c r="H40" s="392">
        <f t="shared" si="11"/>
        <v>24</v>
      </c>
      <c r="I40" s="392">
        <f t="shared" si="11"/>
        <v>60</v>
      </c>
      <c r="J40" s="392">
        <f t="shared" si="11"/>
        <v>0</v>
      </c>
      <c r="K40" s="392">
        <f t="shared" si="11"/>
        <v>0</v>
      </c>
      <c r="L40" s="392">
        <f t="shared" si="11"/>
        <v>0</v>
      </c>
      <c r="M40" s="392">
        <f t="shared" si="11"/>
        <v>38</v>
      </c>
      <c r="N40" s="392">
        <f t="shared" si="11"/>
        <v>0</v>
      </c>
      <c r="O40" s="379">
        <f>SUM(I40:N40)</f>
        <v>98</v>
      </c>
      <c r="Q40" s="394">
        <f>G40</f>
        <v>20</v>
      </c>
      <c r="R40" s="394"/>
      <c r="S40" s="394"/>
    </row>
    <row r="41" spans="1:26">
      <c r="A41" s="396" t="s">
        <v>16</v>
      </c>
      <c r="B41" s="396"/>
      <c r="C41" s="396"/>
      <c r="D41" s="396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67">
        <f t="shared" si="8"/>
        <v>0</v>
      </c>
    </row>
    <row r="42" spans="1:26" s="461" customFormat="1">
      <c r="A42" s="398" t="s">
        <v>17</v>
      </c>
      <c r="B42" s="398"/>
      <c r="C42" s="398"/>
      <c r="D42" s="485"/>
      <c r="E42" s="383"/>
      <c r="F42" s="453">
        <v>8</v>
      </c>
      <c r="G42" s="383"/>
      <c r="H42" s="383"/>
      <c r="I42" s="383">
        <f>SUM(B42:H42)</f>
        <v>8</v>
      </c>
      <c r="J42" s="453"/>
      <c r="K42" s="453"/>
      <c r="L42" s="453"/>
      <c r="M42" s="475">
        <v>26</v>
      </c>
      <c r="N42" s="475"/>
      <c r="O42" s="459">
        <f t="shared" si="8"/>
        <v>34</v>
      </c>
      <c r="U42" s="476">
        <v>120</v>
      </c>
    </row>
    <row r="43" spans="1:26">
      <c r="A43" s="100"/>
      <c r="B43" s="100"/>
      <c r="C43" s="100"/>
      <c r="D43" s="100"/>
      <c r="E43" s="386"/>
      <c r="F43" s="386"/>
      <c r="G43" s="386"/>
      <c r="H43" s="386"/>
      <c r="I43" s="386"/>
      <c r="J43" s="386"/>
      <c r="K43" s="386"/>
      <c r="L43" s="386"/>
      <c r="M43" s="399"/>
      <c r="N43" s="386"/>
      <c r="O43" s="367"/>
    </row>
    <row r="44" spans="1:26">
      <c r="A44" s="95" t="s">
        <v>3</v>
      </c>
      <c r="B44" s="392">
        <f t="shared" ref="B44:N44" si="12">SUM(B42:B43)</f>
        <v>0</v>
      </c>
      <c r="C44" s="392">
        <f t="shared" si="12"/>
        <v>0</v>
      </c>
      <c r="D44" s="392">
        <f t="shared" si="12"/>
        <v>0</v>
      </c>
      <c r="E44" s="392">
        <f t="shared" si="12"/>
        <v>0</v>
      </c>
      <c r="F44" s="392">
        <f t="shared" si="12"/>
        <v>8</v>
      </c>
      <c r="G44" s="392">
        <f t="shared" si="12"/>
        <v>0</v>
      </c>
      <c r="H44" s="392">
        <f t="shared" si="12"/>
        <v>0</v>
      </c>
      <c r="I44" s="392">
        <f t="shared" si="12"/>
        <v>8</v>
      </c>
      <c r="J44" s="392">
        <f t="shared" si="12"/>
        <v>0</v>
      </c>
      <c r="K44" s="392">
        <f t="shared" si="12"/>
        <v>0</v>
      </c>
      <c r="L44" s="392">
        <f t="shared" si="12"/>
        <v>0</v>
      </c>
      <c r="M44" s="392">
        <f t="shared" si="12"/>
        <v>26</v>
      </c>
      <c r="N44" s="392">
        <f t="shared" si="12"/>
        <v>0</v>
      </c>
      <c r="O44" s="379">
        <f t="shared" si="8"/>
        <v>34</v>
      </c>
      <c r="Q44" s="394">
        <f>G44</f>
        <v>0</v>
      </c>
      <c r="R44" s="394"/>
      <c r="S44" s="394"/>
    </row>
    <row r="45" spans="1:26">
      <c r="A45" s="396" t="s">
        <v>19</v>
      </c>
      <c r="B45" s="396"/>
      <c r="C45" s="396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67">
        <f t="shared" si="8"/>
        <v>0</v>
      </c>
    </row>
    <row r="46" spans="1:26">
      <c r="A46" s="398" t="s">
        <v>20</v>
      </c>
      <c r="B46" s="398"/>
      <c r="C46" s="398"/>
      <c r="D46" s="398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67">
        <f t="shared" si="8"/>
        <v>0</v>
      </c>
    </row>
    <row r="47" spans="1:26">
      <c r="A47" s="100" t="s">
        <v>4</v>
      </c>
      <c r="B47" s="100"/>
      <c r="C47" s="100"/>
      <c r="D47" s="422">
        <v>3</v>
      </c>
      <c r="E47" s="456">
        <v>13</v>
      </c>
      <c r="F47" s="456">
        <f>23+10</f>
        <v>33</v>
      </c>
      <c r="G47" s="456">
        <v>26</v>
      </c>
      <c r="H47" s="456">
        <v>32</v>
      </c>
      <c r="I47" s="456">
        <f>SUM(B47:H47)</f>
        <v>107</v>
      </c>
      <c r="J47" s="386"/>
      <c r="K47" s="399">
        <v>28</v>
      </c>
      <c r="L47" s="386"/>
      <c r="M47" s="386"/>
      <c r="N47" s="386"/>
      <c r="O47" s="367">
        <f t="shared" si="8"/>
        <v>135</v>
      </c>
      <c r="V47" s="93" t="s">
        <v>192</v>
      </c>
      <c r="W47" s="169">
        <f>I58-(X47+Y47)</f>
        <v>237</v>
      </c>
      <c r="X47" s="169">
        <f>I52+I57</f>
        <v>225</v>
      </c>
      <c r="Y47" s="169">
        <f>I56</f>
        <v>0</v>
      </c>
      <c r="Z47" s="169">
        <f>SUM(W47:Y47)</f>
        <v>462</v>
      </c>
    </row>
    <row r="48" spans="1:26" hidden="1">
      <c r="A48" s="100" t="s">
        <v>21</v>
      </c>
      <c r="B48" s="100"/>
      <c r="C48" s="100"/>
      <c r="D48" s="100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67">
        <f t="shared" si="8"/>
        <v>0</v>
      </c>
    </row>
    <row r="49" spans="1:23">
      <c r="A49" s="100" t="s">
        <v>76</v>
      </c>
      <c r="B49" s="100"/>
      <c r="C49" s="100"/>
      <c r="D49" s="100"/>
      <c r="E49" s="386"/>
      <c r="F49" s="456">
        <v>17</v>
      </c>
      <c r="G49" s="456">
        <v>33</v>
      </c>
      <c r="H49" s="456">
        <v>27</v>
      </c>
      <c r="I49" s="456">
        <f>SUM(B49:H49)</f>
        <v>77</v>
      </c>
      <c r="J49" s="386"/>
      <c r="K49" s="399">
        <v>28</v>
      </c>
      <c r="L49" s="386"/>
      <c r="M49" s="386"/>
      <c r="N49" s="386"/>
      <c r="O49" s="367">
        <f>SUM(I49:N49)</f>
        <v>105</v>
      </c>
    </row>
    <row r="50" spans="1:23">
      <c r="A50" s="100" t="s">
        <v>24</v>
      </c>
      <c r="B50" s="100"/>
      <c r="C50" s="100"/>
      <c r="D50" s="100"/>
      <c r="E50" s="386"/>
      <c r="F50" s="386"/>
      <c r="G50" s="386"/>
      <c r="H50" s="386"/>
      <c r="I50" s="386">
        <f>SUM(B50:H50)</f>
        <v>0</v>
      </c>
      <c r="J50" s="386"/>
      <c r="K50" s="399">
        <v>28</v>
      </c>
      <c r="L50" s="386"/>
      <c r="M50" s="386"/>
      <c r="N50" s="386"/>
      <c r="O50" s="367">
        <f>SUM(I50:N50)</f>
        <v>28</v>
      </c>
    </row>
    <row r="51" spans="1:23">
      <c r="A51" s="100" t="s">
        <v>122</v>
      </c>
      <c r="B51" s="100"/>
      <c r="C51" s="100"/>
      <c r="D51" s="422">
        <v>2</v>
      </c>
      <c r="E51" s="456">
        <v>18</v>
      </c>
      <c r="F51" s="456">
        <v>16</v>
      </c>
      <c r="G51" s="456"/>
      <c r="H51" s="456">
        <v>17</v>
      </c>
      <c r="I51" s="456">
        <f>SUM(B51:H51)</f>
        <v>53</v>
      </c>
      <c r="J51" s="399"/>
      <c r="K51" s="399"/>
      <c r="L51" s="386"/>
      <c r="M51" s="386"/>
      <c r="N51" s="386"/>
      <c r="O51" s="367">
        <f>SUM(I51:N51)</f>
        <v>53</v>
      </c>
      <c r="P51" s="93" t="s">
        <v>41</v>
      </c>
      <c r="Q51" s="461"/>
    </row>
    <row r="52" spans="1:23">
      <c r="A52" s="100" t="s">
        <v>168</v>
      </c>
      <c r="B52" s="100"/>
      <c r="C52" s="100"/>
      <c r="D52" s="100"/>
      <c r="E52" s="386"/>
      <c r="F52" s="456">
        <v>29</v>
      </c>
      <c r="G52" s="456">
        <v>21</v>
      </c>
      <c r="H52" s="456">
        <v>22</v>
      </c>
      <c r="I52" s="386">
        <f>SUM(B52:H52)</f>
        <v>72</v>
      </c>
      <c r="J52" s="399">
        <v>21</v>
      </c>
      <c r="K52" s="399">
        <v>18</v>
      </c>
      <c r="L52" s="386">
        <v>1</v>
      </c>
      <c r="M52" s="386">
        <v>2</v>
      </c>
      <c r="N52" s="386"/>
      <c r="O52" s="367">
        <f t="shared" si="8"/>
        <v>114</v>
      </c>
      <c r="P52" s="93" t="s">
        <v>41</v>
      </c>
    </row>
    <row r="53" spans="1:23" hidden="1">
      <c r="A53" s="100" t="s">
        <v>23</v>
      </c>
      <c r="B53" s="100"/>
      <c r="C53" s="100"/>
      <c r="D53" s="100"/>
      <c r="E53" s="386"/>
      <c r="F53" s="386"/>
      <c r="G53" s="386"/>
      <c r="H53" s="386"/>
      <c r="I53" s="386">
        <f>SUM(B53:F53)</f>
        <v>0</v>
      </c>
      <c r="J53" s="386"/>
      <c r="K53" s="386"/>
      <c r="L53" s="386"/>
      <c r="M53" s="386"/>
      <c r="N53" s="386"/>
      <c r="O53" s="367">
        <f t="shared" si="8"/>
        <v>0</v>
      </c>
    </row>
    <row r="54" spans="1:23" hidden="1">
      <c r="A54" s="100" t="s">
        <v>24</v>
      </c>
      <c r="B54" s="100"/>
      <c r="C54" s="100"/>
      <c r="D54" s="100"/>
      <c r="E54" s="386"/>
      <c r="F54" s="386"/>
      <c r="G54" s="386"/>
      <c r="H54" s="386"/>
      <c r="I54" s="386">
        <f>SUM(B54:F54)</f>
        <v>0</v>
      </c>
      <c r="J54" s="386"/>
      <c r="K54" s="386"/>
      <c r="L54" s="399">
        <v>12</v>
      </c>
      <c r="M54" s="386"/>
      <c r="N54" s="386"/>
      <c r="O54" s="367">
        <f t="shared" si="8"/>
        <v>12</v>
      </c>
    </row>
    <row r="55" spans="1:23" hidden="1">
      <c r="A55" s="100" t="s">
        <v>110</v>
      </c>
      <c r="B55" s="100"/>
      <c r="C55" s="100"/>
      <c r="D55" s="100"/>
      <c r="E55" s="386"/>
      <c r="F55" s="386"/>
      <c r="G55" s="386"/>
      <c r="H55" s="386"/>
      <c r="I55" s="386">
        <f>SUM(B55:F55)</f>
        <v>0</v>
      </c>
      <c r="J55" s="400">
        <v>162</v>
      </c>
      <c r="K55" s="386"/>
      <c r="L55" s="386">
        <v>97</v>
      </c>
      <c r="M55" s="386"/>
      <c r="N55" s="386"/>
      <c r="O55" s="367">
        <f t="shared" si="8"/>
        <v>259</v>
      </c>
    </row>
    <row r="56" spans="1:23">
      <c r="A56" s="100" t="s">
        <v>144</v>
      </c>
      <c r="B56" s="100"/>
      <c r="C56" s="100"/>
      <c r="D56" s="100"/>
      <c r="E56" s="386"/>
      <c r="F56" s="386"/>
      <c r="G56" s="386"/>
      <c r="H56" s="386"/>
      <c r="I56" s="386">
        <f>SUM(B56:H56)</f>
        <v>0</v>
      </c>
      <c r="J56" s="399">
        <v>69</v>
      </c>
      <c r="K56" s="399"/>
      <c r="L56" s="399"/>
      <c r="M56" s="399"/>
      <c r="N56" s="399"/>
      <c r="O56" s="367">
        <f t="shared" si="8"/>
        <v>69</v>
      </c>
    </row>
    <row r="57" spans="1:23">
      <c r="A57" s="401" t="s">
        <v>25</v>
      </c>
      <c r="B57" s="401"/>
      <c r="C57" s="401"/>
      <c r="D57" s="457">
        <v>2</v>
      </c>
      <c r="E57" s="458">
        <v>29</v>
      </c>
      <c r="F57" s="458">
        <v>45</v>
      </c>
      <c r="G57" s="459">
        <v>39</v>
      </c>
      <c r="H57" s="459">
        <v>38</v>
      </c>
      <c r="I57" s="456">
        <f>SUM(B57:H57)</f>
        <v>153</v>
      </c>
      <c r="J57" s="402">
        <v>35</v>
      </c>
      <c r="K57" s="402">
        <v>98</v>
      </c>
      <c r="L57" s="402">
        <v>34</v>
      </c>
      <c r="M57" s="402">
        <v>14</v>
      </c>
      <c r="N57" s="402"/>
      <c r="O57" s="367">
        <f t="shared" si="8"/>
        <v>334</v>
      </c>
    </row>
    <row r="58" spans="1:23">
      <c r="A58" s="95" t="s">
        <v>3</v>
      </c>
      <c r="B58" s="392">
        <f>SUM(B46:B57)</f>
        <v>0</v>
      </c>
      <c r="C58" s="392">
        <f t="shared" ref="C58:N58" si="13">SUM(C46:C57)</f>
        <v>0</v>
      </c>
      <c r="D58" s="392">
        <f t="shared" si="13"/>
        <v>7</v>
      </c>
      <c r="E58" s="392">
        <f t="shared" si="13"/>
        <v>60</v>
      </c>
      <c r="F58" s="392">
        <f t="shared" si="13"/>
        <v>140</v>
      </c>
      <c r="G58" s="392">
        <f t="shared" si="13"/>
        <v>119</v>
      </c>
      <c r="H58" s="392">
        <f t="shared" si="13"/>
        <v>136</v>
      </c>
      <c r="I58" s="392">
        <f>SUM(I46:I57)</f>
        <v>462</v>
      </c>
      <c r="J58" s="392">
        <f t="shared" si="13"/>
        <v>287</v>
      </c>
      <c r="K58" s="392">
        <f t="shared" si="13"/>
        <v>200</v>
      </c>
      <c r="L58" s="392">
        <f t="shared" si="13"/>
        <v>144</v>
      </c>
      <c r="M58" s="392">
        <f t="shared" si="13"/>
        <v>16</v>
      </c>
      <c r="N58" s="392">
        <f t="shared" si="13"/>
        <v>0</v>
      </c>
      <c r="O58" s="379">
        <f t="shared" si="8"/>
        <v>1109</v>
      </c>
      <c r="P58" s="403">
        <f>26+48+23+18+56+38</f>
        <v>209</v>
      </c>
      <c r="Q58" s="394">
        <f>G58</f>
        <v>119</v>
      </c>
      <c r="R58" s="394"/>
      <c r="S58" s="394"/>
      <c r="T58" s="394"/>
      <c r="U58" s="169">
        <f>I58+I82</f>
        <v>1198</v>
      </c>
      <c r="V58" s="169">
        <f>I56+I57+I60</f>
        <v>524</v>
      </c>
    </row>
    <row r="59" spans="1:23">
      <c r="A59" s="404" t="s">
        <v>26</v>
      </c>
      <c r="B59" s="404"/>
      <c r="C59" s="404"/>
      <c r="D59" s="40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67">
        <f t="shared" si="8"/>
        <v>0</v>
      </c>
    </row>
    <row r="60" spans="1:23">
      <c r="A60" s="100" t="s">
        <v>123</v>
      </c>
      <c r="B60" s="100"/>
      <c r="C60" s="100"/>
      <c r="D60" s="422">
        <v>9</v>
      </c>
      <c r="E60" s="456">
        <v>75</v>
      </c>
      <c r="F60" s="456">
        <v>130</v>
      </c>
      <c r="G60" s="456">
        <v>82</v>
      </c>
      <c r="H60" s="456">
        <v>75</v>
      </c>
      <c r="I60" s="456">
        <f>SUM(B60:H60)</f>
        <v>371</v>
      </c>
      <c r="J60" s="399">
        <v>69</v>
      </c>
      <c r="K60" s="399"/>
      <c r="L60" s="399"/>
      <c r="M60" s="399"/>
      <c r="N60" s="399"/>
      <c r="O60" s="367">
        <f t="shared" si="8"/>
        <v>440</v>
      </c>
      <c r="U60" s="405" t="s">
        <v>149</v>
      </c>
      <c r="V60" s="406" t="s">
        <v>158</v>
      </c>
      <c r="W60" s="407"/>
    </row>
    <row r="61" spans="1:23" hidden="1">
      <c r="A61" s="100" t="s">
        <v>118</v>
      </c>
      <c r="B61" s="100"/>
      <c r="C61" s="100"/>
      <c r="D61" s="100"/>
      <c r="E61" s="386"/>
      <c r="F61" s="386"/>
      <c r="G61" s="386"/>
      <c r="H61" s="386"/>
      <c r="I61" s="386"/>
      <c r="J61" s="399"/>
      <c r="K61" s="399">
        <v>126</v>
      </c>
      <c r="L61" s="399">
        <v>48</v>
      </c>
      <c r="M61" s="399">
        <v>49</v>
      </c>
      <c r="N61" s="399"/>
      <c r="O61" s="367">
        <f t="shared" si="8"/>
        <v>223</v>
      </c>
      <c r="U61" s="408"/>
      <c r="V61" s="409"/>
      <c r="W61" s="410"/>
    </row>
    <row r="62" spans="1:23" hidden="1">
      <c r="A62" s="100" t="s">
        <v>68</v>
      </c>
      <c r="B62" s="100"/>
      <c r="C62" s="100"/>
      <c r="D62" s="100"/>
      <c r="E62" s="386"/>
      <c r="F62" s="386"/>
      <c r="G62" s="386"/>
      <c r="H62" s="386"/>
      <c r="I62" s="386"/>
      <c r="J62" s="386"/>
      <c r="K62" s="399"/>
      <c r="L62" s="386"/>
      <c r="M62" s="386"/>
      <c r="N62" s="386"/>
      <c r="O62" s="367">
        <f t="shared" si="8"/>
        <v>0</v>
      </c>
      <c r="P62" s="93" t="s">
        <v>70</v>
      </c>
      <c r="U62" s="408"/>
      <c r="V62" s="409"/>
      <c r="W62" s="410"/>
    </row>
    <row r="63" spans="1:23">
      <c r="A63" s="100" t="s">
        <v>143</v>
      </c>
      <c r="B63" s="100"/>
      <c r="C63" s="100"/>
      <c r="D63" s="100"/>
      <c r="E63" s="386"/>
      <c r="F63" s="386"/>
      <c r="G63" s="386"/>
      <c r="H63" s="386"/>
      <c r="I63" s="386">
        <f>SUM(B63:H63)</f>
        <v>0</v>
      </c>
      <c r="J63" s="399">
        <v>69</v>
      </c>
      <c r="K63" s="399"/>
      <c r="L63" s="399"/>
      <c r="M63" s="399"/>
      <c r="N63" s="399"/>
      <c r="O63" s="367">
        <f>SUM(I63:N63)</f>
        <v>69</v>
      </c>
      <c r="U63" s="411">
        <f>I60+I63</f>
        <v>371</v>
      </c>
      <c r="V63" s="412">
        <f>I64+I66+I69+I76+I77+I79+I80</f>
        <v>264</v>
      </c>
      <c r="W63" s="413"/>
    </row>
    <row r="64" spans="1:23">
      <c r="A64" s="100" t="s">
        <v>146</v>
      </c>
      <c r="B64" s="100"/>
      <c r="C64" s="100"/>
      <c r="D64" s="100"/>
      <c r="E64" s="386"/>
      <c r="F64" s="456">
        <v>1</v>
      </c>
      <c r="G64" s="456">
        <v>19</v>
      </c>
      <c r="H64" s="386"/>
      <c r="I64" s="386">
        <f>SUM(B64:H65)</f>
        <v>20</v>
      </c>
      <c r="J64" s="386"/>
      <c r="K64" s="386"/>
      <c r="L64" s="386"/>
      <c r="M64" s="386"/>
      <c r="N64" s="386"/>
      <c r="O64" s="367">
        <f t="shared" si="8"/>
        <v>20</v>
      </c>
      <c r="U64" s="261"/>
    </row>
    <row r="65" spans="1:24" hidden="1">
      <c r="A65" s="100" t="s">
        <v>124</v>
      </c>
      <c r="B65" s="100"/>
      <c r="C65" s="100"/>
      <c r="D65" s="100"/>
      <c r="E65" s="386"/>
      <c r="F65" s="386"/>
      <c r="G65" s="386"/>
      <c r="H65" s="386"/>
      <c r="I65" s="386">
        <f>SUM(B65:G65)</f>
        <v>0</v>
      </c>
      <c r="J65" s="399">
        <v>128</v>
      </c>
      <c r="K65" s="399">
        <v>122</v>
      </c>
      <c r="L65" s="399">
        <v>11</v>
      </c>
      <c r="M65" s="386">
        <v>7</v>
      </c>
      <c r="N65" s="399"/>
      <c r="O65" s="367">
        <f t="shared" si="8"/>
        <v>268</v>
      </c>
      <c r="U65" s="169"/>
      <c r="X65" s="93">
        <f>2498+60</f>
        <v>2558</v>
      </c>
    </row>
    <row r="66" spans="1:24">
      <c r="A66" s="100" t="s">
        <v>221</v>
      </c>
      <c r="B66" s="100"/>
      <c r="C66" s="100"/>
      <c r="D66" s="100"/>
      <c r="E66" s="386"/>
      <c r="F66" s="386"/>
      <c r="G66" s="386"/>
      <c r="H66" s="386"/>
      <c r="I66" s="386">
        <f>SUM(B66:H66)</f>
        <v>0</v>
      </c>
      <c r="J66" s="399"/>
      <c r="K66" s="399"/>
      <c r="L66" s="399"/>
      <c r="M66" s="386"/>
      <c r="N66" s="386"/>
      <c r="O66" s="367">
        <f t="shared" si="8"/>
        <v>0</v>
      </c>
    </row>
    <row r="67" spans="1:24" hidden="1">
      <c r="A67" s="100" t="s">
        <v>69</v>
      </c>
      <c r="B67" s="100"/>
      <c r="C67" s="100"/>
      <c r="D67" s="100"/>
      <c r="E67" s="386"/>
      <c r="F67" s="386"/>
      <c r="G67" s="386"/>
      <c r="H67" s="386"/>
      <c r="I67" s="386">
        <f t="shared" ref="I67:I75" si="14">SUM(B67:F67)</f>
        <v>0</v>
      </c>
      <c r="J67" s="386"/>
      <c r="K67" s="399"/>
      <c r="L67" s="399"/>
      <c r="M67" s="386"/>
      <c r="N67" s="386"/>
      <c r="O67" s="367">
        <f t="shared" si="8"/>
        <v>0</v>
      </c>
      <c r="P67" s="93" t="s">
        <v>70</v>
      </c>
    </row>
    <row r="68" spans="1:24">
      <c r="A68" s="100" t="s">
        <v>42</v>
      </c>
      <c r="B68" s="100"/>
      <c r="C68" s="100"/>
      <c r="D68" s="100"/>
      <c r="E68" s="456">
        <v>1</v>
      </c>
      <c r="F68" s="456">
        <v>3</v>
      </c>
      <c r="G68" s="456">
        <v>42</v>
      </c>
      <c r="H68" s="456">
        <v>55</v>
      </c>
      <c r="I68" s="456">
        <f>SUM(B68:H68)</f>
        <v>101</v>
      </c>
      <c r="J68" s="399"/>
      <c r="K68" s="399"/>
      <c r="L68" s="399"/>
      <c r="M68" s="386"/>
      <c r="N68" s="386"/>
      <c r="O68" s="367">
        <f t="shared" ref="O68" si="15">SUM(I68:N68)</f>
        <v>101</v>
      </c>
    </row>
    <row r="69" spans="1:24">
      <c r="A69" s="100" t="s">
        <v>142</v>
      </c>
      <c r="B69" s="100"/>
      <c r="C69" s="100"/>
      <c r="D69" s="100"/>
      <c r="E69" s="456">
        <v>3</v>
      </c>
      <c r="F69" s="456">
        <v>14</v>
      </c>
      <c r="G69" s="456">
        <v>53</v>
      </c>
      <c r="H69" s="456">
        <v>35</v>
      </c>
      <c r="I69" s="456">
        <f>SUM(B69:H69)</f>
        <v>105</v>
      </c>
      <c r="J69" s="399"/>
      <c r="K69" s="399"/>
      <c r="L69" s="386"/>
      <c r="M69" s="399"/>
      <c r="N69" s="386"/>
      <c r="O69" s="367">
        <f t="shared" si="8"/>
        <v>105</v>
      </c>
    </row>
    <row r="70" spans="1:24" hidden="1">
      <c r="A70" s="100" t="s">
        <v>29</v>
      </c>
      <c r="B70" s="100"/>
      <c r="C70" s="100"/>
      <c r="D70" s="100"/>
      <c r="E70" s="386"/>
      <c r="F70" s="386"/>
      <c r="G70" s="386"/>
      <c r="H70" s="386"/>
      <c r="I70" s="386">
        <f t="shared" si="14"/>
        <v>0</v>
      </c>
      <c r="J70" s="399"/>
      <c r="K70" s="386"/>
      <c r="L70" s="386"/>
      <c r="M70" s="386"/>
      <c r="N70" s="386"/>
      <c r="O70" s="367">
        <f t="shared" si="8"/>
        <v>0</v>
      </c>
    </row>
    <row r="71" spans="1:24" hidden="1">
      <c r="A71" s="100" t="s">
        <v>95</v>
      </c>
      <c r="B71" s="100"/>
      <c r="C71" s="100"/>
      <c r="D71" s="100"/>
      <c r="E71" s="386"/>
      <c r="F71" s="386"/>
      <c r="G71" s="386"/>
      <c r="H71" s="386"/>
      <c r="I71" s="386">
        <f t="shared" si="14"/>
        <v>0</v>
      </c>
      <c r="J71" s="399"/>
      <c r="K71" s="386"/>
      <c r="L71" s="386"/>
      <c r="M71" s="386"/>
      <c r="N71" s="386"/>
      <c r="O71" s="367">
        <f t="shared" si="8"/>
        <v>0</v>
      </c>
    </row>
    <row r="72" spans="1:24" hidden="1">
      <c r="A72" s="100" t="s">
        <v>30</v>
      </c>
      <c r="B72" s="100"/>
      <c r="C72" s="100"/>
      <c r="D72" s="100"/>
      <c r="E72" s="386"/>
      <c r="F72" s="386"/>
      <c r="G72" s="386"/>
      <c r="H72" s="386"/>
      <c r="I72" s="386">
        <f t="shared" si="14"/>
        <v>0</v>
      </c>
      <c r="J72" s="386"/>
      <c r="K72" s="386"/>
      <c r="L72" s="386"/>
      <c r="M72" s="386"/>
      <c r="N72" s="386"/>
      <c r="O72" s="367">
        <f t="shared" si="8"/>
        <v>0</v>
      </c>
    </row>
    <row r="73" spans="1:24" hidden="1">
      <c r="A73" s="100" t="s">
        <v>31</v>
      </c>
      <c r="B73" s="100"/>
      <c r="C73" s="100"/>
      <c r="D73" s="100"/>
      <c r="E73" s="386"/>
      <c r="F73" s="386"/>
      <c r="G73" s="386"/>
      <c r="H73" s="386"/>
      <c r="I73" s="386">
        <f t="shared" si="14"/>
        <v>0</v>
      </c>
      <c r="J73" s="386"/>
      <c r="K73" s="386"/>
      <c r="L73" s="386"/>
      <c r="M73" s="386"/>
      <c r="N73" s="386"/>
      <c r="O73" s="367">
        <f t="shared" si="8"/>
        <v>0</v>
      </c>
    </row>
    <row r="74" spans="1:24" hidden="1">
      <c r="A74" s="100" t="s">
        <v>32</v>
      </c>
      <c r="B74" s="100"/>
      <c r="C74" s="100"/>
      <c r="D74" s="100"/>
      <c r="E74" s="386"/>
      <c r="F74" s="386"/>
      <c r="G74" s="386"/>
      <c r="H74" s="386"/>
      <c r="I74" s="386">
        <f t="shared" si="14"/>
        <v>0</v>
      </c>
      <c r="J74" s="386"/>
      <c r="K74" s="399">
        <v>26</v>
      </c>
      <c r="L74" s="399">
        <v>1</v>
      </c>
      <c r="M74" s="386"/>
      <c r="N74" s="386"/>
      <c r="O74" s="367">
        <f t="shared" si="8"/>
        <v>27</v>
      </c>
    </row>
    <row r="75" spans="1:24" hidden="1">
      <c r="A75" s="100" t="s">
        <v>33</v>
      </c>
      <c r="B75" s="100"/>
      <c r="C75" s="100"/>
      <c r="D75" s="100"/>
      <c r="E75" s="386"/>
      <c r="F75" s="386"/>
      <c r="G75" s="386"/>
      <c r="H75" s="386"/>
      <c r="I75" s="386">
        <f t="shared" si="14"/>
        <v>0</v>
      </c>
      <c r="J75" s="386">
        <v>85</v>
      </c>
      <c r="K75" s="386">
        <v>66</v>
      </c>
      <c r="L75" s="399">
        <v>14</v>
      </c>
      <c r="M75" s="386">
        <v>7</v>
      </c>
      <c r="N75" s="386"/>
      <c r="O75" s="367">
        <f t="shared" si="8"/>
        <v>172</v>
      </c>
    </row>
    <row r="76" spans="1:24" hidden="1">
      <c r="A76" s="100" t="s">
        <v>142</v>
      </c>
      <c r="B76" s="100"/>
      <c r="C76" s="100"/>
      <c r="D76" s="100"/>
      <c r="E76" s="386"/>
      <c r="F76" s="386"/>
      <c r="G76" s="386"/>
      <c r="H76" s="386"/>
      <c r="I76" s="386">
        <f>SUM(B76:G76)</f>
        <v>0</v>
      </c>
      <c r="J76" s="399"/>
      <c r="K76" s="399"/>
      <c r="L76" s="386"/>
      <c r="M76" s="399"/>
      <c r="N76" s="386"/>
      <c r="O76" s="367">
        <f>SUM(I76:N76)</f>
        <v>0</v>
      </c>
    </row>
    <row r="77" spans="1:24" hidden="1">
      <c r="A77" s="100" t="s">
        <v>146</v>
      </c>
      <c r="B77" s="100"/>
      <c r="C77" s="100"/>
      <c r="D77" s="100"/>
      <c r="E77" s="386"/>
      <c r="F77" s="386"/>
      <c r="G77" s="386"/>
      <c r="H77" s="386"/>
      <c r="I77" s="386">
        <f>SUM(B77:G77)</f>
        <v>0</v>
      </c>
      <c r="J77" s="386"/>
      <c r="K77" s="386"/>
      <c r="L77" s="386"/>
      <c r="M77" s="386"/>
      <c r="N77" s="386"/>
      <c r="O77" s="367">
        <f>SUM(I77:N77)</f>
        <v>0</v>
      </c>
    </row>
    <row r="78" spans="1:24">
      <c r="A78" s="100" t="s">
        <v>220</v>
      </c>
      <c r="B78" s="100"/>
      <c r="C78" s="100"/>
      <c r="D78" s="100"/>
      <c r="E78" s="386"/>
      <c r="F78" s="386"/>
      <c r="G78" s="386"/>
      <c r="H78" s="386"/>
      <c r="I78" s="386">
        <f>SUM(B78:H78)</f>
        <v>0</v>
      </c>
      <c r="J78" s="399">
        <v>170</v>
      </c>
      <c r="K78" s="399">
        <v>102</v>
      </c>
      <c r="L78" s="399">
        <v>9</v>
      </c>
      <c r="M78" s="386">
        <v>5</v>
      </c>
      <c r="N78" s="386"/>
      <c r="O78" s="367">
        <f>SUM(I78:N78)</f>
        <v>286</v>
      </c>
      <c r="U78" s="169">
        <f>I65</f>
        <v>0</v>
      </c>
      <c r="V78" s="169">
        <f>I59</f>
        <v>0</v>
      </c>
    </row>
    <row r="79" spans="1:24">
      <c r="A79" s="100" t="s">
        <v>141</v>
      </c>
      <c r="B79" s="100"/>
      <c r="C79" s="100"/>
      <c r="D79" s="422">
        <v>1</v>
      </c>
      <c r="E79" s="456"/>
      <c r="F79" s="456">
        <v>9</v>
      </c>
      <c r="G79" s="456">
        <v>69</v>
      </c>
      <c r="H79" s="456">
        <f>40+20</f>
        <v>60</v>
      </c>
      <c r="I79" s="456">
        <f>SUM(B79:H79)</f>
        <v>139</v>
      </c>
      <c r="J79" s="399">
        <v>170</v>
      </c>
      <c r="K79" s="399">
        <v>102</v>
      </c>
      <c r="L79" s="399">
        <v>9</v>
      </c>
      <c r="M79" s="386">
        <v>5</v>
      </c>
      <c r="N79" s="386"/>
      <c r="O79" s="367">
        <f>SUM(I79:N79)</f>
        <v>425</v>
      </c>
      <c r="U79" s="169">
        <f>I66</f>
        <v>0</v>
      </c>
      <c r="V79" s="169">
        <f>I60</f>
        <v>371</v>
      </c>
    </row>
    <row r="80" spans="1:24" hidden="1">
      <c r="A80" s="100" t="s">
        <v>157</v>
      </c>
      <c r="B80" s="100"/>
      <c r="C80" s="100"/>
      <c r="D80" s="100"/>
      <c r="E80" s="386"/>
      <c r="F80" s="386"/>
      <c r="G80" s="386"/>
      <c r="H80" s="386"/>
      <c r="I80" s="386">
        <f>SUM(B80:G80)</f>
        <v>0</v>
      </c>
      <c r="J80" s="386"/>
      <c r="K80" s="386"/>
      <c r="L80" s="386"/>
      <c r="M80" s="386"/>
      <c r="N80" s="386"/>
      <c r="O80" s="367">
        <f t="shared" si="8"/>
        <v>0</v>
      </c>
    </row>
    <row r="81" spans="1:23" hidden="1">
      <c r="A81" s="401" t="s">
        <v>35</v>
      </c>
      <c r="B81" s="103"/>
      <c r="C81" s="103"/>
      <c r="D81" s="103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>
        <f t="shared" si="8"/>
        <v>0</v>
      </c>
    </row>
    <row r="82" spans="1:23">
      <c r="A82" s="95" t="s">
        <v>3</v>
      </c>
      <c r="B82" s="392">
        <f>SUM(B60:B81)</f>
        <v>0</v>
      </c>
      <c r="C82" s="392">
        <f>SUM(C60:C81)</f>
        <v>0</v>
      </c>
      <c r="D82" s="392">
        <f>SUM(D60:D81)</f>
        <v>10</v>
      </c>
      <c r="E82" s="392">
        <f>SUM(E60:E81)</f>
        <v>79</v>
      </c>
      <c r="F82" s="392">
        <f>SUM(F60:F81)</f>
        <v>157</v>
      </c>
      <c r="G82" s="392">
        <f t="shared" ref="G82:N82" si="16">SUM(G60:G81)</f>
        <v>265</v>
      </c>
      <c r="H82" s="392">
        <f t="shared" si="16"/>
        <v>225</v>
      </c>
      <c r="I82" s="392">
        <f t="shared" si="16"/>
        <v>736</v>
      </c>
      <c r="J82" s="392">
        <f t="shared" si="16"/>
        <v>691</v>
      </c>
      <c r="K82" s="392">
        <f t="shared" si="16"/>
        <v>544</v>
      </c>
      <c r="L82" s="392">
        <f t="shared" si="16"/>
        <v>92</v>
      </c>
      <c r="M82" s="392">
        <f t="shared" si="16"/>
        <v>73</v>
      </c>
      <c r="N82" s="392">
        <f t="shared" si="16"/>
        <v>0</v>
      </c>
      <c r="O82" s="392">
        <f t="shared" si="8"/>
        <v>2136</v>
      </c>
      <c r="Q82" s="394">
        <f>G82</f>
        <v>265</v>
      </c>
      <c r="R82" s="394"/>
      <c r="S82" s="394"/>
      <c r="U82" s="169">
        <f>I82-(U79+V79)</f>
        <v>365</v>
      </c>
      <c r="V82" s="169">
        <f>I60</f>
        <v>371</v>
      </c>
    </row>
    <row r="83" spans="1:23">
      <c r="A83" s="392" t="s">
        <v>36</v>
      </c>
      <c r="B83" s="414">
        <f>SUM(B20,B36,B44,B58,B82,B40)</f>
        <v>0</v>
      </c>
      <c r="C83" s="414">
        <f t="shared" ref="C83:H83" si="17">SUM(C20,C36,C44,C58,C82,C40)</f>
        <v>0</v>
      </c>
      <c r="D83" s="414">
        <f t="shared" si="17"/>
        <v>67</v>
      </c>
      <c r="E83" s="414">
        <f t="shared" si="17"/>
        <v>504</v>
      </c>
      <c r="F83" s="414">
        <f t="shared" si="17"/>
        <v>347</v>
      </c>
      <c r="G83" s="414">
        <f t="shared" si="17"/>
        <v>490</v>
      </c>
      <c r="H83" s="414">
        <f t="shared" si="17"/>
        <v>444</v>
      </c>
      <c r="I83" s="414">
        <f>SUM(I20,I36,I44,I58,I82,I40)</f>
        <v>1852</v>
      </c>
      <c r="J83" s="414">
        <f t="shared" ref="J83:O83" si="18">SUM(J20,J36,J44,J58,J82)</f>
        <v>1490</v>
      </c>
      <c r="K83" s="414">
        <f t="shared" si="18"/>
        <v>1336</v>
      </c>
      <c r="L83" s="414">
        <f t="shared" si="18"/>
        <v>294</v>
      </c>
      <c r="M83" s="414">
        <f t="shared" si="18"/>
        <v>170</v>
      </c>
      <c r="N83" s="414">
        <f t="shared" si="18"/>
        <v>0</v>
      </c>
      <c r="O83" s="414">
        <f t="shared" si="18"/>
        <v>5082</v>
      </c>
      <c r="P83" s="93">
        <v>3678</v>
      </c>
      <c r="Q83" s="415">
        <f>SUM(Q6:Q82)</f>
        <v>490</v>
      </c>
      <c r="R83" s="416"/>
      <c r="S83" s="416"/>
      <c r="V83" s="169">
        <f>E83+11+5</f>
        <v>520</v>
      </c>
      <c r="W83" s="169">
        <f>I83+16</f>
        <v>1868</v>
      </c>
    </row>
    <row r="84" spans="1:23">
      <c r="I84" s="421">
        <v>2058</v>
      </c>
      <c r="Q84" s="93">
        <f>3554-329</f>
        <v>3225</v>
      </c>
    </row>
    <row r="85" spans="1:23">
      <c r="A85" s="482" t="s">
        <v>301</v>
      </c>
      <c r="F85" s="417">
        <f>F83+บัณฑิตศึกษา!F41</f>
        <v>468</v>
      </c>
      <c r="G85" s="417"/>
      <c r="H85" s="417"/>
      <c r="I85" s="117">
        <f>I83+บัณฑิตศึกษา!I41</f>
        <v>2892</v>
      </c>
      <c r="O85" s="169">
        <v>28</v>
      </c>
    </row>
    <row r="86" spans="1:23">
      <c r="A86" s="486" t="s">
        <v>294</v>
      </c>
      <c r="F86" s="169">
        <f>B83+E83+F83</f>
        <v>851</v>
      </c>
      <c r="I86" s="169">
        <f>I83-I84</f>
        <v>-206</v>
      </c>
    </row>
    <row r="87" spans="1:23">
      <c r="A87" s="486"/>
      <c r="I87" s="169">
        <f>I83+บัณฑิตศึกษา!I41</f>
        <v>2892</v>
      </c>
    </row>
    <row r="88" spans="1:23" ht="21.75" thickBot="1">
      <c r="A88" s="487"/>
    </row>
    <row r="89" spans="1:23">
      <c r="A89" s="126" t="s">
        <v>39</v>
      </c>
      <c r="B89" s="169">
        <f>F20</f>
        <v>0</v>
      </c>
      <c r="I89" s="93">
        <v>1436</v>
      </c>
      <c r="U89" s="93">
        <f>3606+153</f>
        <v>3759</v>
      </c>
    </row>
    <row r="90" spans="1:23">
      <c r="A90" s="126" t="s">
        <v>149</v>
      </c>
      <c r="B90" s="169">
        <f>(F36+F58+F82)-B91</f>
        <v>323</v>
      </c>
    </row>
    <row r="91" spans="1:23">
      <c r="A91" s="126" t="s">
        <v>41</v>
      </c>
      <c r="B91" s="93">
        <f>U64</f>
        <v>0</v>
      </c>
      <c r="U91" s="169">
        <f>I83-U89</f>
        <v>-1907</v>
      </c>
    </row>
    <row r="92" spans="1:23">
      <c r="A92" s="126" t="s">
        <v>152</v>
      </c>
      <c r="B92" s="93">
        <v>0</v>
      </c>
      <c r="I92" s="169">
        <f>I83-67</f>
        <v>1785</v>
      </c>
    </row>
    <row r="93" spans="1:23">
      <c r="A93" s="126" t="s">
        <v>150</v>
      </c>
      <c r="B93" s="93">
        <f>บัณฑิตศึกษา!F44</f>
        <v>0</v>
      </c>
    </row>
    <row r="94" spans="1:23">
      <c r="A94" s="126" t="s">
        <v>151</v>
      </c>
      <c r="B94" s="93">
        <f>บัณฑิตศึกษา!F45</f>
        <v>0</v>
      </c>
    </row>
    <row r="95" spans="1:23">
      <c r="B95" s="169">
        <f>SUM(B89:B94)</f>
        <v>323</v>
      </c>
    </row>
    <row r="96" spans="1:23">
      <c r="A96" s="261"/>
      <c r="B96" s="261"/>
      <c r="C96" s="261"/>
    </row>
    <row r="99" spans="1:4">
      <c r="B99" s="93" t="s">
        <v>156</v>
      </c>
      <c r="C99" s="93" t="s">
        <v>155</v>
      </c>
    </row>
    <row r="100" spans="1:4">
      <c r="A100" s="126" t="s">
        <v>207</v>
      </c>
    </row>
    <row r="101" spans="1:4">
      <c r="A101" s="126" t="s">
        <v>65</v>
      </c>
    </row>
    <row r="102" spans="1:4">
      <c r="A102" s="126" t="s">
        <v>208</v>
      </c>
      <c r="B102" s="169">
        <f>Q44+Q40+Q36</f>
        <v>106</v>
      </c>
      <c r="C102" s="169">
        <f>Q82+Q58</f>
        <v>384</v>
      </c>
      <c r="D102" s="169">
        <f>SUM(B102:C102)</f>
        <v>490</v>
      </c>
    </row>
    <row r="103" spans="1:4">
      <c r="A103" s="126" t="s">
        <v>209</v>
      </c>
    </row>
    <row r="104" spans="1:4">
      <c r="A104" s="126" t="s">
        <v>134</v>
      </c>
    </row>
    <row r="105" spans="1:4">
      <c r="A105" s="126" t="s">
        <v>3</v>
      </c>
    </row>
  </sheetData>
  <mergeCells count="10">
    <mergeCell ref="R23:T23"/>
    <mergeCell ref="A1:P1"/>
    <mergeCell ref="I2:I3"/>
    <mergeCell ref="Q6:W6"/>
    <mergeCell ref="Q8:Q9"/>
    <mergeCell ref="R8:V8"/>
    <mergeCell ref="W8:W9"/>
    <mergeCell ref="A3:A4"/>
    <mergeCell ref="O3:O4"/>
    <mergeCell ref="B2:H2"/>
  </mergeCells>
  <phoneticPr fontId="0" type="noConversion"/>
  <printOptions horizontalCentered="1"/>
  <pageMargins left="0.62992125984251968" right="0.59055118110236227" top="0.19685039370078741" bottom="0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5"/>
  <sheetViews>
    <sheetView view="pageBreakPreview" zoomScale="120" zoomScaleSheet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H101" sqref="H101"/>
    </sheetView>
  </sheetViews>
  <sheetFormatPr defaultRowHeight="12.75"/>
  <cols>
    <col min="1" max="1" width="37.140625" style="19" customWidth="1"/>
    <col min="2" max="2" width="6.85546875" style="19" customWidth="1"/>
    <col min="3" max="3" width="7" style="19" customWidth="1"/>
    <col min="4" max="4" width="7.28515625" style="19" customWidth="1"/>
    <col min="5" max="5" width="7.140625" style="19" customWidth="1"/>
    <col min="6" max="6" width="7.28515625" style="19" customWidth="1"/>
    <col min="7" max="8" width="7.7109375" style="19" customWidth="1"/>
    <col min="9" max="9" width="8.42578125" style="19" customWidth="1"/>
    <col min="10" max="15" width="0" style="19" hidden="1" customWidth="1"/>
    <col min="16" max="16" width="8.5703125" style="19" hidden="1" customWidth="1"/>
    <col min="17" max="17" width="26.42578125" style="19" customWidth="1"/>
    <col min="18" max="20" width="8.5703125" style="19" customWidth="1"/>
    <col min="21" max="16384" width="9.140625" style="19"/>
  </cols>
  <sheetData>
    <row r="1" spans="1:25" ht="15.75">
      <c r="A1" s="816" t="s">
        <v>285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8"/>
      <c r="Q1" s="224"/>
      <c r="R1" s="224"/>
      <c r="S1" s="224"/>
      <c r="T1" s="224"/>
    </row>
    <row r="2" spans="1:25">
      <c r="B2" s="819" t="s">
        <v>131</v>
      </c>
      <c r="C2" s="819"/>
      <c r="D2" s="819"/>
      <c r="E2" s="819"/>
      <c r="F2" s="819"/>
      <c r="G2" s="819"/>
      <c r="H2" s="820"/>
      <c r="I2" s="821" t="s">
        <v>3</v>
      </c>
    </row>
    <row r="3" spans="1:25">
      <c r="A3" s="823" t="s">
        <v>0</v>
      </c>
      <c r="B3" s="115">
        <v>2551</v>
      </c>
      <c r="C3" s="115">
        <v>2552</v>
      </c>
      <c r="D3" s="115">
        <v>2553</v>
      </c>
      <c r="E3" s="88" t="s">
        <v>132</v>
      </c>
      <c r="F3" s="88" t="s">
        <v>163</v>
      </c>
      <c r="G3" s="88" t="s">
        <v>230</v>
      </c>
      <c r="H3" s="88" t="s">
        <v>266</v>
      </c>
      <c r="I3" s="822"/>
      <c r="J3" s="65" t="s">
        <v>84</v>
      </c>
      <c r="K3" s="66" t="s">
        <v>85</v>
      </c>
      <c r="L3" s="66" t="s">
        <v>86</v>
      </c>
      <c r="M3" s="66" t="s">
        <v>87</v>
      </c>
      <c r="N3" s="66" t="s">
        <v>88</v>
      </c>
      <c r="O3" s="823" t="s">
        <v>3</v>
      </c>
    </row>
    <row r="4" spans="1:25" ht="12.75" hidden="1" customHeight="1">
      <c r="A4" s="824"/>
      <c r="B4" s="343"/>
      <c r="C4" s="343"/>
      <c r="D4" s="343"/>
      <c r="E4" s="89" t="s">
        <v>1</v>
      </c>
      <c r="F4" s="89" t="s">
        <v>1</v>
      </c>
      <c r="G4" s="89"/>
      <c r="H4" s="89"/>
      <c r="I4" s="89" t="s">
        <v>1</v>
      </c>
      <c r="J4" s="18" t="s">
        <v>1</v>
      </c>
      <c r="K4" s="18"/>
      <c r="L4" s="18"/>
      <c r="M4" s="18"/>
      <c r="N4" s="18" t="s">
        <v>2</v>
      </c>
      <c r="O4" s="825"/>
    </row>
    <row r="5" spans="1:25">
      <c r="A5" s="60" t="s">
        <v>5</v>
      </c>
      <c r="B5" s="60"/>
      <c r="C5" s="60"/>
      <c r="D5" s="60"/>
      <c r="E5" s="7"/>
      <c r="F5" s="7"/>
      <c r="G5" s="7"/>
      <c r="H5" s="7"/>
      <c r="I5" s="7"/>
      <c r="J5" s="7"/>
      <c r="K5" s="7"/>
      <c r="L5" s="7"/>
      <c r="M5" s="7"/>
      <c r="N5" s="7"/>
      <c r="O5" s="68"/>
      <c r="Q5" s="323"/>
      <c r="R5" s="324"/>
      <c r="S5" s="324"/>
      <c r="T5" s="324"/>
      <c r="U5" s="324"/>
      <c r="V5" s="324"/>
      <c r="W5" s="324"/>
    </row>
    <row r="6" spans="1:25" s="87" customFormat="1">
      <c r="A6" s="265" t="s">
        <v>92</v>
      </c>
      <c r="B6" s="265">
        <f>1+2</f>
        <v>3</v>
      </c>
      <c r="C6" s="265">
        <v>1</v>
      </c>
      <c r="D6" s="265">
        <f>40+22</f>
        <v>62</v>
      </c>
      <c r="E6" s="271">
        <f>45+44</f>
        <v>89</v>
      </c>
      <c r="F6" s="271"/>
      <c r="G6" s="271"/>
      <c r="H6" s="271"/>
      <c r="I6" s="271">
        <f>SUM(B6:H6)</f>
        <v>155</v>
      </c>
      <c r="J6" s="75">
        <v>52</v>
      </c>
      <c r="K6" s="75">
        <v>64</v>
      </c>
      <c r="L6" s="75">
        <v>20</v>
      </c>
      <c r="M6" s="75">
        <v>54</v>
      </c>
      <c r="N6" s="75"/>
      <c r="O6" s="197">
        <f t="shared" ref="O6:O20" si="0">SUM(I6:N6)</f>
        <v>345</v>
      </c>
      <c r="P6" s="87" t="s">
        <v>39</v>
      </c>
      <c r="Q6" s="826" t="s">
        <v>280</v>
      </c>
      <c r="R6" s="826"/>
      <c r="S6" s="826"/>
      <c r="T6" s="826"/>
      <c r="U6" s="826"/>
      <c r="V6" s="826"/>
      <c r="W6" s="826"/>
    </row>
    <row r="7" spans="1:25" s="87" customFormat="1">
      <c r="A7" s="1" t="s">
        <v>93</v>
      </c>
      <c r="B7" s="1"/>
      <c r="C7" s="1">
        <v>3</v>
      </c>
      <c r="D7" s="1">
        <f>34+18</f>
        <v>52</v>
      </c>
      <c r="E7" s="8">
        <v>30</v>
      </c>
      <c r="F7" s="8"/>
      <c r="G7" s="8"/>
      <c r="H7" s="8"/>
      <c r="I7" s="8">
        <f>SUM(B7:H7)</f>
        <v>85</v>
      </c>
      <c r="J7" s="76">
        <v>17</v>
      </c>
      <c r="K7" s="198"/>
      <c r="L7" s="198"/>
      <c r="M7" s="198"/>
      <c r="N7" s="198"/>
      <c r="O7" s="197">
        <f t="shared" si="0"/>
        <v>102</v>
      </c>
      <c r="P7" s="87" t="s">
        <v>39</v>
      </c>
      <c r="Q7" s="323"/>
      <c r="R7" s="324"/>
      <c r="S7" s="324"/>
      <c r="T7" s="324"/>
      <c r="U7" s="324"/>
      <c r="V7" s="324"/>
      <c r="W7" s="324"/>
    </row>
    <row r="8" spans="1:25" s="87" customFormat="1">
      <c r="A8" s="1" t="s">
        <v>94</v>
      </c>
      <c r="B8" s="1"/>
      <c r="C8" s="1">
        <v>3</v>
      </c>
      <c r="D8" s="1">
        <v>44</v>
      </c>
      <c r="E8" s="8">
        <f>36+37</f>
        <v>73</v>
      </c>
      <c r="F8" s="8"/>
      <c r="G8" s="8"/>
      <c r="H8" s="8"/>
      <c r="I8" s="8">
        <f t="shared" ref="I8:I13" si="1">SUM(B8:H8)</f>
        <v>120</v>
      </c>
      <c r="J8" s="76">
        <v>27</v>
      </c>
      <c r="K8" s="198"/>
      <c r="L8" s="198"/>
      <c r="M8" s="198"/>
      <c r="N8" s="198"/>
      <c r="O8" s="197">
        <f t="shared" si="0"/>
        <v>147</v>
      </c>
      <c r="P8" s="87" t="s">
        <v>39</v>
      </c>
      <c r="Q8" s="808" t="s">
        <v>201</v>
      </c>
      <c r="R8" s="810" t="s">
        <v>202</v>
      </c>
      <c r="S8" s="810"/>
      <c r="T8" s="810"/>
      <c r="U8" s="810"/>
      <c r="V8" s="810"/>
      <c r="W8" s="811" t="s">
        <v>3</v>
      </c>
    </row>
    <row r="9" spans="1:25" s="87" customFormat="1">
      <c r="A9" s="1" t="s">
        <v>112</v>
      </c>
      <c r="B9" s="1"/>
      <c r="C9" s="1">
        <v>4</v>
      </c>
      <c r="D9" s="1">
        <v>23</v>
      </c>
      <c r="E9" s="8">
        <v>29</v>
      </c>
      <c r="F9" s="8"/>
      <c r="G9" s="8"/>
      <c r="H9" s="8"/>
      <c r="I9" s="8">
        <f t="shared" si="1"/>
        <v>56</v>
      </c>
      <c r="J9" s="198">
        <v>19</v>
      </c>
      <c r="K9" s="198"/>
      <c r="L9" s="198"/>
      <c r="M9" s="198"/>
      <c r="N9" s="198"/>
      <c r="O9" s="197">
        <f t="shared" si="0"/>
        <v>75</v>
      </c>
      <c r="P9" s="87" t="s">
        <v>41</v>
      </c>
      <c r="Q9" s="809"/>
      <c r="R9" s="325" t="s">
        <v>203</v>
      </c>
      <c r="S9" s="342" t="s">
        <v>204</v>
      </c>
      <c r="T9" s="342" t="s">
        <v>205</v>
      </c>
      <c r="U9" s="342" t="s">
        <v>51</v>
      </c>
      <c r="V9" s="342" t="s">
        <v>134</v>
      </c>
      <c r="W9" s="812"/>
    </row>
    <row r="10" spans="1:25" s="87" customFormat="1">
      <c r="A10" s="1" t="s">
        <v>113</v>
      </c>
      <c r="B10" s="1"/>
      <c r="C10" s="1"/>
      <c r="D10" s="1">
        <v>13</v>
      </c>
      <c r="E10" s="8">
        <v>27</v>
      </c>
      <c r="F10" s="8"/>
      <c r="G10" s="8"/>
      <c r="H10" s="8"/>
      <c r="I10" s="8">
        <f t="shared" si="1"/>
        <v>40</v>
      </c>
      <c r="J10" s="198"/>
      <c r="K10" s="198"/>
      <c r="L10" s="198"/>
      <c r="M10" s="198"/>
      <c r="N10" s="198"/>
      <c r="O10" s="197">
        <f t="shared" si="0"/>
        <v>40</v>
      </c>
      <c r="P10" s="87" t="s">
        <v>41</v>
      </c>
      <c r="Q10" s="326" t="s">
        <v>200</v>
      </c>
      <c r="R10" s="327">
        <f>I19</f>
        <v>67</v>
      </c>
      <c r="S10" s="327"/>
      <c r="T10" s="327">
        <f>I20-I19</f>
        <v>682</v>
      </c>
      <c r="U10" s="327">
        <f>214+160+133+81+39</f>
        <v>627</v>
      </c>
      <c r="V10" s="327">
        <f>19+13+8+7+12+16+15+9+5+18+12+13+22</f>
        <v>169</v>
      </c>
      <c r="W10" s="327">
        <f t="shared" ref="W10:W18" si="2">SUM(R10:V10)</f>
        <v>1545</v>
      </c>
    </row>
    <row r="11" spans="1:25" s="87" customFormat="1">
      <c r="A11" s="1" t="s">
        <v>114</v>
      </c>
      <c r="B11" s="1"/>
      <c r="C11" s="1"/>
      <c r="D11" s="1">
        <v>17</v>
      </c>
      <c r="E11" s="8">
        <f>34+34</f>
        <v>68</v>
      </c>
      <c r="F11" s="8"/>
      <c r="G11" s="8"/>
      <c r="H11" s="8"/>
      <c r="I11" s="8">
        <f t="shared" si="1"/>
        <v>85</v>
      </c>
      <c r="J11" s="198"/>
      <c r="K11" s="198"/>
      <c r="L11" s="198"/>
      <c r="M11" s="198"/>
      <c r="N11" s="198"/>
      <c r="O11" s="197">
        <f t="shared" si="0"/>
        <v>85</v>
      </c>
      <c r="Q11" s="326" t="s">
        <v>206</v>
      </c>
      <c r="R11" s="327"/>
      <c r="S11" s="327">
        <f>I58</f>
        <v>404</v>
      </c>
      <c r="T11" s="327"/>
      <c r="U11" s="327">
        <v>45</v>
      </c>
      <c r="V11" s="327"/>
      <c r="W11" s="327">
        <f t="shared" si="2"/>
        <v>449</v>
      </c>
    </row>
    <row r="12" spans="1:25" s="87" customFormat="1">
      <c r="A12" s="1" t="s">
        <v>115</v>
      </c>
      <c r="B12" s="1"/>
      <c r="C12" s="1"/>
      <c r="D12" s="1">
        <v>10</v>
      </c>
      <c r="E12" s="8">
        <v>41</v>
      </c>
      <c r="F12" s="8"/>
      <c r="G12" s="8"/>
      <c r="H12" s="8"/>
      <c r="I12" s="8">
        <f t="shared" si="1"/>
        <v>51</v>
      </c>
      <c r="J12" s="76"/>
      <c r="K12" s="198"/>
      <c r="L12" s="198"/>
      <c r="M12" s="198"/>
      <c r="N12" s="198"/>
      <c r="O12" s="197">
        <f t="shared" si="0"/>
        <v>51</v>
      </c>
      <c r="P12" s="199">
        <v>526</v>
      </c>
      <c r="Q12" s="326" t="s">
        <v>197</v>
      </c>
      <c r="R12" s="327">
        <f>I68+I79</f>
        <v>160</v>
      </c>
      <c r="S12" s="327">
        <f>I82-R12</f>
        <v>460</v>
      </c>
      <c r="T12" s="327"/>
      <c r="U12" s="327">
        <f>88-2</f>
        <v>86</v>
      </c>
      <c r="V12" s="327">
        <f>33</f>
        <v>33</v>
      </c>
      <c r="W12" s="327">
        <f t="shared" si="2"/>
        <v>739</v>
      </c>
    </row>
    <row r="13" spans="1:25" s="87" customFormat="1">
      <c r="A13" s="1" t="s">
        <v>96</v>
      </c>
      <c r="B13" s="1"/>
      <c r="C13" s="1"/>
      <c r="D13" s="1">
        <v>36</v>
      </c>
      <c r="E13" s="8">
        <v>37</v>
      </c>
      <c r="F13" s="8"/>
      <c r="G13" s="8"/>
      <c r="H13" s="8"/>
      <c r="I13" s="8">
        <f t="shared" si="1"/>
        <v>73</v>
      </c>
      <c r="J13" s="198"/>
      <c r="K13" s="198"/>
      <c r="L13" s="198"/>
      <c r="M13" s="198"/>
      <c r="N13" s="198"/>
      <c r="O13" s="197">
        <f t="shared" si="0"/>
        <v>73</v>
      </c>
      <c r="P13" s="199">
        <v>116</v>
      </c>
      <c r="Q13" s="328" t="s">
        <v>3</v>
      </c>
      <c r="R13" s="328">
        <f>SUM(R10:R12)</f>
        <v>227</v>
      </c>
      <c r="S13" s="328">
        <f t="shared" ref="S13:W13" si="3">SUM(S10:S12)</f>
        <v>864</v>
      </c>
      <c r="T13" s="328">
        <f t="shared" si="3"/>
        <v>682</v>
      </c>
      <c r="U13" s="328">
        <f t="shared" si="3"/>
        <v>758</v>
      </c>
      <c r="V13" s="328">
        <f t="shared" si="3"/>
        <v>202</v>
      </c>
      <c r="W13" s="328">
        <f t="shared" si="3"/>
        <v>2733</v>
      </c>
      <c r="X13" s="87">
        <v>153</v>
      </c>
      <c r="Y13" s="155">
        <f>SUM(W13:X13)</f>
        <v>2886</v>
      </c>
    </row>
    <row r="14" spans="1:25" s="87" customFormat="1">
      <c r="A14" s="1" t="s">
        <v>10</v>
      </c>
      <c r="B14" s="1"/>
      <c r="C14" s="1"/>
      <c r="D14" s="1"/>
      <c r="E14" s="8">
        <v>17</v>
      </c>
      <c r="F14" s="8"/>
      <c r="G14" s="8"/>
      <c r="H14" s="8"/>
      <c r="I14" s="8">
        <f>SUM(B14:H14)</f>
        <v>17</v>
      </c>
      <c r="J14" s="76">
        <v>24</v>
      </c>
      <c r="K14" s="198"/>
      <c r="L14" s="198"/>
      <c r="M14" s="198"/>
      <c r="N14" s="198"/>
      <c r="O14" s="197">
        <f t="shared" si="0"/>
        <v>41</v>
      </c>
      <c r="Q14" s="326" t="s">
        <v>199</v>
      </c>
      <c r="R14" s="327"/>
      <c r="S14" s="327">
        <f>I40</f>
        <v>36</v>
      </c>
      <c r="T14" s="327"/>
      <c r="U14" s="327">
        <f>64+1+5+1+1</f>
        <v>72</v>
      </c>
      <c r="V14" s="327">
        <v>2</v>
      </c>
      <c r="W14" s="327">
        <f t="shared" si="2"/>
        <v>110</v>
      </c>
    </row>
    <row r="15" spans="1:25" hidden="1">
      <c r="A15" s="1"/>
      <c r="B15" s="1"/>
      <c r="C15" s="1"/>
      <c r="D15" s="1"/>
      <c r="E15" s="8"/>
      <c r="F15" s="8"/>
      <c r="G15" s="8"/>
      <c r="H15" s="8"/>
      <c r="I15" s="8"/>
      <c r="J15" s="71">
        <v>142</v>
      </c>
      <c r="K15" s="76">
        <v>334</v>
      </c>
      <c r="L15" s="76">
        <v>9</v>
      </c>
      <c r="M15" s="8">
        <v>1</v>
      </c>
      <c r="N15" s="8"/>
      <c r="O15" s="13">
        <f t="shared" si="0"/>
        <v>486</v>
      </c>
      <c r="P15" s="19" t="s">
        <v>39</v>
      </c>
      <c r="Q15" s="326" t="s">
        <v>17</v>
      </c>
      <c r="R15" s="327"/>
      <c r="S15" s="327"/>
      <c r="T15" s="327"/>
      <c r="U15" s="327"/>
      <c r="V15" s="327"/>
      <c r="W15" s="327">
        <f t="shared" si="2"/>
        <v>0</v>
      </c>
    </row>
    <row r="16" spans="1:25" hidden="1">
      <c r="A16" s="1" t="s">
        <v>7</v>
      </c>
      <c r="B16" s="1"/>
      <c r="C16" s="1"/>
      <c r="D16" s="1"/>
      <c r="E16" s="8"/>
      <c r="F16" s="8"/>
      <c r="G16" s="8"/>
      <c r="H16" s="8"/>
      <c r="I16" s="8"/>
      <c r="J16" s="71">
        <v>36</v>
      </c>
      <c r="K16" s="8"/>
      <c r="L16" s="8"/>
      <c r="M16" s="8"/>
      <c r="N16" s="8"/>
      <c r="O16" s="13">
        <f t="shared" si="0"/>
        <v>36</v>
      </c>
      <c r="Q16" s="326" t="s">
        <v>198</v>
      </c>
      <c r="R16" s="327"/>
      <c r="S16" s="327"/>
      <c r="T16" s="327"/>
      <c r="U16" s="327"/>
      <c r="V16" s="327"/>
      <c r="W16" s="327">
        <f t="shared" si="2"/>
        <v>0</v>
      </c>
    </row>
    <row r="17" spans="1:27" hidden="1">
      <c r="A17" s="1"/>
      <c r="B17" s="1"/>
      <c r="C17" s="1"/>
      <c r="D17" s="1"/>
      <c r="E17" s="8"/>
      <c r="F17" s="8"/>
      <c r="G17" s="8"/>
      <c r="H17" s="8"/>
      <c r="I17" s="8"/>
      <c r="J17" s="71">
        <v>42</v>
      </c>
      <c r="K17" s="76">
        <v>48</v>
      </c>
      <c r="L17" s="76">
        <v>7</v>
      </c>
      <c r="M17" s="8"/>
      <c r="N17" s="8"/>
      <c r="O17" s="13">
        <f t="shared" si="0"/>
        <v>97</v>
      </c>
      <c r="P17" s="19" t="s">
        <v>41</v>
      </c>
      <c r="Q17" s="329" t="s">
        <v>3</v>
      </c>
      <c r="R17" s="328"/>
      <c r="S17" s="328"/>
      <c r="T17" s="328"/>
      <c r="U17" s="328"/>
      <c r="V17" s="328"/>
      <c r="W17" s="327">
        <f t="shared" si="2"/>
        <v>0</v>
      </c>
    </row>
    <row r="18" spans="1:27" hidden="1">
      <c r="A18" s="1" t="s">
        <v>9</v>
      </c>
      <c r="B18" s="1"/>
      <c r="C18" s="1"/>
      <c r="D18" s="1"/>
      <c r="E18" s="8"/>
      <c r="F18" s="8"/>
      <c r="G18" s="8"/>
      <c r="H18" s="8"/>
      <c r="I18" s="8"/>
      <c r="J18" s="71">
        <v>36</v>
      </c>
      <c r="K18" s="8"/>
      <c r="L18" s="8"/>
      <c r="M18" s="8"/>
      <c r="N18" s="8"/>
      <c r="O18" s="13">
        <f t="shared" si="0"/>
        <v>36</v>
      </c>
      <c r="Q18" s="329" t="s">
        <v>59</v>
      </c>
      <c r="R18" s="328"/>
      <c r="S18" s="328"/>
      <c r="T18" s="328"/>
      <c r="U18" s="328"/>
      <c r="V18" s="328"/>
      <c r="W18" s="328">
        <f t="shared" si="2"/>
        <v>0</v>
      </c>
    </row>
    <row r="19" spans="1:27">
      <c r="A19" s="143" t="s">
        <v>40</v>
      </c>
      <c r="B19" s="143"/>
      <c r="C19" s="143"/>
      <c r="D19" s="143"/>
      <c r="E19" s="266">
        <v>23</v>
      </c>
      <c r="F19" s="272">
        <f>21+23</f>
        <v>44</v>
      </c>
      <c r="G19" s="144"/>
      <c r="H19" s="144"/>
      <c r="I19" s="144">
        <f>SUM(B19:G19)</f>
        <v>67</v>
      </c>
      <c r="J19" s="72">
        <v>117</v>
      </c>
      <c r="K19" s="72">
        <v>146</v>
      </c>
      <c r="L19" s="58">
        <v>22</v>
      </c>
      <c r="M19" s="58"/>
      <c r="N19" s="58"/>
      <c r="O19" s="13">
        <f t="shared" si="0"/>
        <v>352</v>
      </c>
      <c r="Q19" s="326" t="s">
        <v>17</v>
      </c>
      <c r="R19" s="330"/>
      <c r="S19" s="331">
        <f>I44</f>
        <v>9</v>
      </c>
      <c r="T19" s="330"/>
      <c r="U19" s="330"/>
      <c r="V19" s="330"/>
      <c r="W19" s="331">
        <f>SUM(R19:V19)</f>
        <v>9</v>
      </c>
      <c r="Y19" s="266">
        <v>23</v>
      </c>
      <c r="Z19" s="272">
        <f>101+202</f>
        <v>303</v>
      </c>
    </row>
    <row r="20" spans="1:27">
      <c r="A20" s="15" t="s">
        <v>3</v>
      </c>
      <c r="B20" s="15">
        <f t="shared" ref="B20:N20" si="4">SUM(B6:B19)</f>
        <v>3</v>
      </c>
      <c r="C20" s="15">
        <f t="shared" si="4"/>
        <v>11</v>
      </c>
      <c r="D20" s="15">
        <f t="shared" si="4"/>
        <v>257</v>
      </c>
      <c r="E20" s="15">
        <f>SUM(E6:E19)</f>
        <v>434</v>
      </c>
      <c r="F20" s="15">
        <f t="shared" si="4"/>
        <v>44</v>
      </c>
      <c r="G20" s="15">
        <f t="shared" si="4"/>
        <v>0</v>
      </c>
      <c r="H20" s="15">
        <f t="shared" si="4"/>
        <v>0</v>
      </c>
      <c r="I20" s="15">
        <f>SUM(I6:I19)</f>
        <v>749</v>
      </c>
      <c r="J20" s="15">
        <f t="shared" si="4"/>
        <v>512</v>
      </c>
      <c r="K20" s="15">
        <f t="shared" si="4"/>
        <v>592</v>
      </c>
      <c r="L20" s="15">
        <f t="shared" si="4"/>
        <v>58</v>
      </c>
      <c r="M20" s="15">
        <f t="shared" si="4"/>
        <v>55</v>
      </c>
      <c r="N20" s="15">
        <f t="shared" si="4"/>
        <v>0</v>
      </c>
      <c r="O20" s="90">
        <f t="shared" si="0"/>
        <v>1966</v>
      </c>
      <c r="P20" s="70">
        <f>1563+44+26+48+23+18+56+38</f>
        <v>1816</v>
      </c>
      <c r="Q20" s="326" t="s">
        <v>198</v>
      </c>
      <c r="R20" s="332">
        <f>I31+I32+I33+I34+I35</f>
        <v>138</v>
      </c>
      <c r="S20" s="332">
        <f>I36-R20</f>
        <v>44</v>
      </c>
      <c r="T20" s="333"/>
      <c r="U20" s="331">
        <f>14-3</f>
        <v>11</v>
      </c>
      <c r="V20" s="330"/>
      <c r="W20" s="331">
        <f>SUM(R20:V20)</f>
        <v>193</v>
      </c>
      <c r="X20" s="62"/>
      <c r="Y20" s="62"/>
    </row>
    <row r="21" spans="1:27">
      <c r="A21" s="119" t="s">
        <v>15</v>
      </c>
      <c r="B21" s="119"/>
      <c r="C21" s="119"/>
      <c r="D21" s="119"/>
      <c r="E21" s="17"/>
      <c r="F21" s="145"/>
      <c r="G21" s="17"/>
      <c r="H21" s="17"/>
      <c r="I21" s="17"/>
      <c r="J21" s="17"/>
      <c r="K21" s="17"/>
      <c r="L21" s="17"/>
      <c r="M21" s="17"/>
      <c r="N21" s="17"/>
      <c r="O21" s="12"/>
      <c r="P21" s="19">
        <f>1844-1816</f>
        <v>28</v>
      </c>
      <c r="Q21" s="329" t="s">
        <v>3</v>
      </c>
      <c r="R21" s="328">
        <f t="shared" ref="R21:W21" si="5">SUM(R14:R20)</f>
        <v>138</v>
      </c>
      <c r="S21" s="328">
        <f t="shared" si="5"/>
        <v>89</v>
      </c>
      <c r="T21" s="328">
        <f t="shared" si="5"/>
        <v>0</v>
      </c>
      <c r="U21" s="328">
        <f t="shared" si="5"/>
        <v>83</v>
      </c>
      <c r="V21" s="328">
        <f t="shared" si="5"/>
        <v>2</v>
      </c>
      <c r="W21" s="328">
        <f t="shared" si="5"/>
        <v>312</v>
      </c>
    </row>
    <row r="22" spans="1:27" s="87" customFormat="1">
      <c r="A22" s="3" t="s">
        <v>125</v>
      </c>
      <c r="B22" s="3"/>
      <c r="C22" s="3"/>
      <c r="D22" s="3">
        <v>1</v>
      </c>
      <c r="E22" s="9"/>
      <c r="F22" s="19">
        <v>20</v>
      </c>
      <c r="G22" s="273">
        <v>15</v>
      </c>
      <c r="H22" s="273"/>
      <c r="I22" s="8">
        <f t="shared" ref="I22:I34" si="6">SUM(B22:H22)</f>
        <v>36</v>
      </c>
      <c r="J22" s="74"/>
      <c r="K22" s="74"/>
      <c r="L22" s="74"/>
      <c r="M22" s="74"/>
      <c r="N22" s="74"/>
      <c r="O22" s="197">
        <f>SUM(I22:N22)</f>
        <v>36</v>
      </c>
      <c r="Q22" s="329" t="s">
        <v>59</v>
      </c>
      <c r="R22" s="334">
        <f>SUM(R13,R21)</f>
        <v>365</v>
      </c>
      <c r="S22" s="334">
        <f t="shared" ref="S22:W22" si="7">SUM(S13,S21)</f>
        <v>953</v>
      </c>
      <c r="T22" s="334">
        <f t="shared" si="7"/>
        <v>682</v>
      </c>
      <c r="U22" s="334">
        <f t="shared" si="7"/>
        <v>841</v>
      </c>
      <c r="V22" s="334">
        <f t="shared" si="7"/>
        <v>204</v>
      </c>
      <c r="W22" s="334">
        <f t="shared" si="7"/>
        <v>3045</v>
      </c>
    </row>
    <row r="23" spans="1:27">
      <c r="A23" s="3" t="s">
        <v>253</v>
      </c>
      <c r="B23" s="3"/>
      <c r="C23" s="3"/>
      <c r="D23" s="3">
        <v>4</v>
      </c>
      <c r="E23" s="10">
        <v>1</v>
      </c>
      <c r="G23" s="273"/>
      <c r="H23" s="273"/>
      <c r="I23" s="8">
        <f t="shared" si="6"/>
        <v>5</v>
      </c>
      <c r="J23" s="10"/>
      <c r="K23" s="10"/>
      <c r="L23" s="10"/>
      <c r="M23" s="10"/>
      <c r="N23" s="10"/>
      <c r="O23" s="13">
        <f>SUM(I23:N23)</f>
        <v>5</v>
      </c>
      <c r="Q23" s="87"/>
      <c r="R23" s="813">
        <f>R22+S22+T22</f>
        <v>2000</v>
      </c>
      <c r="S23" s="814"/>
      <c r="T23" s="815"/>
      <c r="U23" s="87"/>
      <c r="V23" s="87"/>
      <c r="W23" s="87"/>
    </row>
    <row r="24" spans="1:27" s="87" customFormat="1">
      <c r="A24" s="3" t="s">
        <v>254</v>
      </c>
      <c r="B24" s="3"/>
      <c r="C24" s="3"/>
      <c r="D24" s="3"/>
      <c r="E24" s="10"/>
      <c r="F24" s="146"/>
      <c r="G24" s="10"/>
      <c r="H24" s="10"/>
      <c r="I24" s="8">
        <f t="shared" si="6"/>
        <v>0</v>
      </c>
      <c r="J24" s="77"/>
      <c r="K24" s="77"/>
      <c r="L24" s="200"/>
      <c r="M24" s="200"/>
      <c r="N24" s="200"/>
      <c r="O24" s="197">
        <f t="shared" ref="O24:O82" si="8">SUM(I24:N24)</f>
        <v>0</v>
      </c>
      <c r="Q24" s="87" t="s">
        <v>256</v>
      </c>
      <c r="W24" s="87">
        <f>841+204</f>
        <v>1045</v>
      </c>
      <c r="X24" s="87">
        <v>67</v>
      </c>
      <c r="Y24" s="87">
        <f>SUM(W24:X24)</f>
        <v>1112</v>
      </c>
      <c r="Z24" s="87">
        <v>46</v>
      </c>
      <c r="AA24" s="87">
        <f>SUM(Y24:Z24)</f>
        <v>1158</v>
      </c>
    </row>
    <row r="25" spans="1:27" s="87" customFormat="1">
      <c r="A25" s="3" t="s">
        <v>255</v>
      </c>
      <c r="B25" s="3"/>
      <c r="C25" s="3"/>
      <c r="D25" s="3">
        <v>1</v>
      </c>
      <c r="E25" s="9">
        <v>2</v>
      </c>
      <c r="F25" s="147"/>
      <c r="G25" s="10"/>
      <c r="H25" s="10"/>
      <c r="I25" s="8">
        <f t="shared" si="6"/>
        <v>3</v>
      </c>
      <c r="J25" s="74"/>
      <c r="K25" s="74"/>
      <c r="L25" s="74"/>
      <c r="M25" s="74"/>
      <c r="N25" s="74"/>
      <c r="O25" s="197">
        <f t="shared" si="8"/>
        <v>3</v>
      </c>
      <c r="Q25" s="19"/>
      <c r="R25" s="19"/>
      <c r="S25" s="19"/>
      <c r="T25" s="19"/>
      <c r="U25" s="19"/>
      <c r="V25" s="19"/>
      <c r="W25" s="19"/>
    </row>
    <row r="26" spans="1:27" hidden="1">
      <c r="A26" s="3" t="s">
        <v>159</v>
      </c>
      <c r="B26" s="3"/>
      <c r="C26" s="3"/>
      <c r="D26" s="3"/>
      <c r="E26" s="10"/>
      <c r="F26" s="147"/>
      <c r="G26" s="10"/>
      <c r="H26" s="10"/>
      <c r="I26" s="8">
        <f t="shared" si="6"/>
        <v>0</v>
      </c>
      <c r="J26" s="10"/>
      <c r="K26" s="10"/>
      <c r="L26" s="10"/>
      <c r="M26" s="10"/>
      <c r="N26" s="10"/>
      <c r="O26" s="13"/>
    </row>
    <row r="27" spans="1:27" s="87" customFormat="1" hidden="1">
      <c r="A27" s="3" t="s">
        <v>160</v>
      </c>
      <c r="B27" s="3"/>
      <c r="C27" s="3"/>
      <c r="D27" s="3"/>
      <c r="E27" s="10"/>
      <c r="F27" s="146"/>
      <c r="G27" s="10"/>
      <c r="H27" s="10"/>
      <c r="I27" s="8">
        <f t="shared" si="6"/>
        <v>0</v>
      </c>
      <c r="J27" s="200"/>
      <c r="K27" s="200"/>
      <c r="L27" s="200"/>
      <c r="M27" s="200"/>
      <c r="N27" s="200"/>
      <c r="O27" s="197"/>
      <c r="Q27" s="19"/>
      <c r="R27" s="19"/>
      <c r="S27" s="19"/>
      <c r="T27" s="19"/>
      <c r="U27" s="19"/>
      <c r="V27" s="19"/>
      <c r="W27" s="19"/>
    </row>
    <row r="28" spans="1:27" s="87" customFormat="1" hidden="1">
      <c r="A28" s="3" t="s">
        <v>145</v>
      </c>
      <c r="B28" s="3"/>
      <c r="C28" s="3"/>
      <c r="D28" s="3"/>
      <c r="E28" s="10"/>
      <c r="F28" s="146"/>
      <c r="G28" s="10"/>
      <c r="H28" s="10"/>
      <c r="I28" s="8">
        <f t="shared" si="6"/>
        <v>0</v>
      </c>
      <c r="J28" s="77"/>
      <c r="K28" s="77"/>
      <c r="L28" s="200"/>
      <c r="M28" s="200"/>
      <c r="N28" s="200"/>
      <c r="O28" s="197">
        <f>SUM(I28:N28)</f>
        <v>0</v>
      </c>
      <c r="Q28" s="19"/>
      <c r="R28" s="19"/>
      <c r="S28" s="19"/>
      <c r="T28" s="19"/>
      <c r="U28" s="19"/>
      <c r="V28" s="19"/>
      <c r="W28" s="19"/>
    </row>
    <row r="29" spans="1:27" hidden="1">
      <c r="A29" s="3" t="s">
        <v>139</v>
      </c>
      <c r="B29" s="3"/>
      <c r="C29" s="3"/>
      <c r="D29" s="3"/>
      <c r="E29" s="10"/>
      <c r="F29" s="146"/>
      <c r="G29" s="10"/>
      <c r="H29" s="10"/>
      <c r="I29" s="8">
        <f t="shared" si="6"/>
        <v>0</v>
      </c>
      <c r="J29" s="67"/>
      <c r="K29" s="77"/>
      <c r="L29" s="10"/>
      <c r="M29" s="10"/>
      <c r="N29" s="10"/>
      <c r="O29" s="13">
        <f t="shared" si="8"/>
        <v>0</v>
      </c>
    </row>
    <row r="30" spans="1:27" hidden="1">
      <c r="A30" s="3" t="s">
        <v>147</v>
      </c>
      <c r="B30" s="3"/>
      <c r="C30" s="3"/>
      <c r="D30" s="3"/>
      <c r="E30" s="10"/>
      <c r="F30" s="146"/>
      <c r="G30" s="10"/>
      <c r="H30" s="10"/>
      <c r="I30" s="8">
        <f t="shared" si="6"/>
        <v>0</v>
      </c>
      <c r="J30" s="67"/>
      <c r="K30" s="77"/>
      <c r="L30" s="10"/>
      <c r="M30" s="10"/>
      <c r="N30" s="10"/>
      <c r="O30" s="13">
        <f t="shared" ref="O30:O35" si="9">SUM(I30:N30)</f>
        <v>0</v>
      </c>
    </row>
    <row r="31" spans="1:27" s="87" customFormat="1">
      <c r="A31" s="3" t="s">
        <v>178</v>
      </c>
      <c r="B31" s="3"/>
      <c r="C31" s="3"/>
      <c r="D31" s="3"/>
      <c r="E31" s="9"/>
      <c r="F31" s="147">
        <v>22</v>
      </c>
      <c r="G31" s="10"/>
      <c r="H31" s="10"/>
      <c r="I31" s="8">
        <f t="shared" si="6"/>
        <v>22</v>
      </c>
      <c r="J31" s="74"/>
      <c r="K31" s="74"/>
      <c r="L31" s="74"/>
      <c r="M31" s="74"/>
      <c r="N31" s="74"/>
      <c r="O31" s="197">
        <f t="shared" si="9"/>
        <v>22</v>
      </c>
      <c r="Q31" s="87" t="s">
        <v>286</v>
      </c>
      <c r="R31" s="19"/>
      <c r="S31" s="19"/>
      <c r="T31" s="232">
        <f>T22+S22+R22</f>
        <v>2000</v>
      </c>
      <c r="U31" s="19"/>
      <c r="V31" s="19">
        <f>343-120</f>
        <v>223</v>
      </c>
      <c r="W31" s="19">
        <v>415</v>
      </c>
      <c r="X31" s="87">
        <f>SUM(V31:W31)</f>
        <v>638</v>
      </c>
    </row>
    <row r="32" spans="1:27" s="87" customFormat="1">
      <c r="A32" s="3" t="s">
        <v>179</v>
      </c>
      <c r="B32" s="3"/>
      <c r="C32" s="3"/>
      <c r="D32" s="3"/>
      <c r="E32" s="10"/>
      <c r="F32" s="146">
        <v>31</v>
      </c>
      <c r="G32" s="10">
        <v>30</v>
      </c>
      <c r="H32" s="10"/>
      <c r="I32" s="8">
        <f t="shared" si="6"/>
        <v>61</v>
      </c>
      <c r="J32" s="200"/>
      <c r="K32" s="200"/>
      <c r="L32" s="200"/>
      <c r="M32" s="200"/>
      <c r="N32" s="200"/>
      <c r="O32" s="197">
        <f t="shared" si="9"/>
        <v>61</v>
      </c>
      <c r="Q32" s="19"/>
      <c r="R32" s="19"/>
      <c r="S32" s="19"/>
      <c r="T32" s="19">
        <v>329</v>
      </c>
      <c r="U32" s="19"/>
      <c r="V32" s="19"/>
      <c r="W32" s="19"/>
    </row>
    <row r="33" spans="1:26" s="87" customFormat="1">
      <c r="A33" s="3" t="s">
        <v>252</v>
      </c>
      <c r="B33" s="3"/>
      <c r="C33" s="3"/>
      <c r="D33" s="3"/>
      <c r="E33" s="10"/>
      <c r="F33" s="146">
        <v>12</v>
      </c>
      <c r="G33" s="10"/>
      <c r="H33" s="10"/>
      <c r="I33" s="8">
        <f t="shared" si="6"/>
        <v>12</v>
      </c>
      <c r="J33" s="200"/>
      <c r="K33" s="200"/>
      <c r="L33" s="200"/>
      <c r="M33" s="200"/>
      <c r="N33" s="200"/>
      <c r="O33" s="197">
        <f t="shared" si="9"/>
        <v>12</v>
      </c>
      <c r="Q33" s="19"/>
      <c r="R33" s="19"/>
      <c r="S33" s="19"/>
      <c r="T33" s="232">
        <f>T31-T32</f>
        <v>1671</v>
      </c>
      <c r="U33" s="19"/>
      <c r="V33" s="19"/>
      <c r="W33" s="19"/>
    </row>
    <row r="34" spans="1:26" s="87" customFormat="1">
      <c r="A34" s="3" t="s">
        <v>177</v>
      </c>
      <c r="B34" s="3"/>
      <c r="C34" s="3"/>
      <c r="D34" s="3"/>
      <c r="E34" s="10"/>
      <c r="F34" s="146">
        <v>3</v>
      </c>
      <c r="G34" s="10">
        <v>27</v>
      </c>
      <c r="H34" s="10"/>
      <c r="I34" s="8">
        <f t="shared" si="6"/>
        <v>30</v>
      </c>
      <c r="J34" s="200"/>
      <c r="K34" s="200"/>
      <c r="L34" s="200"/>
      <c r="M34" s="200"/>
      <c r="N34" s="200"/>
      <c r="O34" s="197">
        <f t="shared" si="9"/>
        <v>30</v>
      </c>
      <c r="Q34" s="19"/>
      <c r="R34" s="19"/>
      <c r="S34" s="19"/>
      <c r="T34" s="19"/>
      <c r="U34" s="19"/>
      <c r="V34" s="19"/>
      <c r="W34" s="19"/>
    </row>
    <row r="35" spans="1:26">
      <c r="A35" s="3" t="s">
        <v>140</v>
      </c>
      <c r="B35" s="3"/>
      <c r="C35" s="3"/>
      <c r="D35" s="3"/>
      <c r="E35" s="10"/>
      <c r="F35" s="146"/>
      <c r="G35" s="274">
        <v>13</v>
      </c>
      <c r="H35" s="12"/>
      <c r="I35" s="10">
        <f>SUM(B35:H35)</f>
        <v>13</v>
      </c>
      <c r="J35" s="67"/>
      <c r="K35" s="77"/>
      <c r="L35" s="10"/>
      <c r="M35" s="10"/>
      <c r="N35" s="10"/>
      <c r="O35" s="13">
        <f t="shared" si="9"/>
        <v>13</v>
      </c>
    </row>
    <row r="36" spans="1:26">
      <c r="A36" s="15" t="s">
        <v>3</v>
      </c>
      <c r="B36" s="14">
        <f t="shared" ref="B36:I36" si="10">SUM(B22:B35)</f>
        <v>0</v>
      </c>
      <c r="C36" s="14">
        <f t="shared" si="10"/>
        <v>0</v>
      </c>
      <c r="D36" s="14">
        <f t="shared" si="10"/>
        <v>6</v>
      </c>
      <c r="E36" s="14">
        <f t="shared" si="10"/>
        <v>3</v>
      </c>
      <c r="F36" s="14">
        <f t="shared" si="10"/>
        <v>88</v>
      </c>
      <c r="G36" s="14">
        <f t="shared" si="10"/>
        <v>85</v>
      </c>
      <c r="H36" s="14">
        <f t="shared" si="10"/>
        <v>0</v>
      </c>
      <c r="I36" s="14">
        <f t="shared" si="10"/>
        <v>182</v>
      </c>
      <c r="J36" s="14">
        <f>SUM(J24:J26)</f>
        <v>0</v>
      </c>
      <c r="K36" s="14">
        <f>SUM(K24:K26)</f>
        <v>0</v>
      </c>
      <c r="L36" s="14">
        <f>SUM(L24:L26)</f>
        <v>0</v>
      </c>
      <c r="M36" s="14">
        <f>SUM(M24:M26)</f>
        <v>0</v>
      </c>
      <c r="N36" s="14">
        <f>SUM(N24:N26)</f>
        <v>0</v>
      </c>
      <c r="O36" s="90">
        <f t="shared" si="8"/>
        <v>182</v>
      </c>
      <c r="P36" s="81">
        <f>138+24+17</f>
        <v>179</v>
      </c>
      <c r="Q36" s="223">
        <f>G36</f>
        <v>85</v>
      </c>
      <c r="R36" s="223"/>
      <c r="S36" s="223"/>
      <c r="T36" s="223"/>
      <c r="V36" s="285">
        <f>E36</f>
        <v>3</v>
      </c>
      <c r="W36" s="19" t="s">
        <v>148</v>
      </c>
    </row>
    <row r="37" spans="1:26">
      <c r="A37" s="59" t="s">
        <v>11</v>
      </c>
      <c r="B37" s="59"/>
      <c r="C37" s="59"/>
      <c r="D37" s="5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f>SUM(I37:N37)</f>
        <v>0</v>
      </c>
    </row>
    <row r="38" spans="1:26" s="87" customFormat="1">
      <c r="A38" s="5" t="s">
        <v>90</v>
      </c>
      <c r="B38" s="5"/>
      <c r="C38" s="5"/>
      <c r="D38" s="275"/>
      <c r="E38" s="17"/>
      <c r="F38" s="17">
        <v>16</v>
      </c>
      <c r="G38" s="17">
        <v>20</v>
      </c>
      <c r="H38" s="17"/>
      <c r="I38" s="17">
        <f>SUM(B38:H38)</f>
        <v>36</v>
      </c>
      <c r="J38" s="196"/>
      <c r="K38" s="196"/>
      <c r="L38" s="196"/>
      <c r="M38" s="80">
        <v>26</v>
      </c>
      <c r="N38" s="80"/>
      <c r="O38" s="197">
        <f>SUM(I38:N38)</f>
        <v>62</v>
      </c>
      <c r="Q38" s="19"/>
      <c r="R38" s="19"/>
      <c r="S38" s="19"/>
      <c r="T38" s="19"/>
      <c r="U38" s="286">
        <v>120</v>
      </c>
      <c r="V38" s="19"/>
      <c r="W38" s="19"/>
    </row>
    <row r="39" spans="1:26">
      <c r="A39" s="2" t="s">
        <v>91</v>
      </c>
      <c r="B39" s="2"/>
      <c r="C39" s="2"/>
      <c r="D39" s="2"/>
      <c r="E39" s="9"/>
      <c r="F39" s="9"/>
      <c r="G39" s="9"/>
      <c r="H39" s="9"/>
      <c r="I39" s="9">
        <f>SUM(B39:H39)</f>
        <v>0</v>
      </c>
      <c r="J39" s="9"/>
      <c r="K39" s="9"/>
      <c r="L39" s="9"/>
      <c r="M39" s="78">
        <v>12</v>
      </c>
      <c r="N39" s="9"/>
      <c r="O39" s="13">
        <f>SUM(I39:N39)</f>
        <v>12</v>
      </c>
    </row>
    <row r="40" spans="1:26">
      <c r="A40" s="15" t="s">
        <v>3</v>
      </c>
      <c r="B40" s="14">
        <f t="shared" ref="B40:N40" si="11">SUM(B38:B39)</f>
        <v>0</v>
      </c>
      <c r="C40" s="14">
        <f t="shared" si="11"/>
        <v>0</v>
      </c>
      <c r="D40" s="14">
        <f t="shared" si="11"/>
        <v>0</v>
      </c>
      <c r="E40" s="14">
        <f t="shared" si="11"/>
        <v>0</v>
      </c>
      <c r="F40" s="14">
        <f t="shared" si="11"/>
        <v>16</v>
      </c>
      <c r="G40" s="14">
        <f t="shared" si="11"/>
        <v>20</v>
      </c>
      <c r="H40" s="14">
        <f t="shared" si="11"/>
        <v>0</v>
      </c>
      <c r="I40" s="14">
        <f t="shared" si="11"/>
        <v>36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38</v>
      </c>
      <c r="N40" s="14">
        <f t="shared" si="11"/>
        <v>0</v>
      </c>
      <c r="O40" s="90">
        <f>SUM(I40:N40)</f>
        <v>74</v>
      </c>
      <c r="Q40" s="223">
        <f>G40</f>
        <v>20</v>
      </c>
      <c r="R40" s="223"/>
      <c r="S40" s="223"/>
    </row>
    <row r="41" spans="1:26">
      <c r="A41" s="59" t="s">
        <v>16</v>
      </c>
      <c r="B41" s="59"/>
      <c r="C41" s="59"/>
      <c r="D41" s="5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">
        <f t="shared" si="8"/>
        <v>0</v>
      </c>
    </row>
    <row r="42" spans="1:26" s="87" customFormat="1">
      <c r="A42" s="5" t="s">
        <v>17</v>
      </c>
      <c r="B42" s="5"/>
      <c r="C42" s="5"/>
      <c r="D42" s="275"/>
      <c r="E42" s="17"/>
      <c r="F42" s="17">
        <v>9</v>
      </c>
      <c r="G42" s="17"/>
      <c r="H42" s="17"/>
      <c r="I42" s="17">
        <f>SUM(B42:H42)</f>
        <v>9</v>
      </c>
      <c r="J42" s="196"/>
      <c r="K42" s="196"/>
      <c r="L42" s="196"/>
      <c r="M42" s="80">
        <v>26</v>
      </c>
      <c r="N42" s="80"/>
      <c r="O42" s="197">
        <f t="shared" si="8"/>
        <v>35</v>
      </c>
      <c r="Q42" s="19"/>
      <c r="R42" s="19"/>
      <c r="S42" s="19"/>
      <c r="T42" s="19"/>
      <c r="U42" s="286">
        <v>120</v>
      </c>
      <c r="V42" s="19"/>
      <c r="W42" s="19"/>
    </row>
    <row r="43" spans="1:26">
      <c r="A43" s="2"/>
      <c r="B43" s="2"/>
      <c r="C43" s="2"/>
      <c r="D43" s="2"/>
      <c r="E43" s="9"/>
      <c r="F43" s="9"/>
      <c r="G43" s="9"/>
      <c r="H43" s="9"/>
      <c r="I43" s="9"/>
      <c r="J43" s="9"/>
      <c r="K43" s="9"/>
      <c r="L43" s="9"/>
      <c r="M43" s="78"/>
      <c r="N43" s="9"/>
      <c r="O43" s="13"/>
    </row>
    <row r="44" spans="1:26">
      <c r="A44" s="15" t="s">
        <v>3</v>
      </c>
      <c r="B44" s="14">
        <f t="shared" ref="B44:N44" si="12">SUM(B42:B43)</f>
        <v>0</v>
      </c>
      <c r="C44" s="14">
        <f t="shared" si="12"/>
        <v>0</v>
      </c>
      <c r="D44" s="14">
        <f t="shared" si="12"/>
        <v>0</v>
      </c>
      <c r="E44" s="14">
        <f t="shared" si="12"/>
        <v>0</v>
      </c>
      <c r="F44" s="14">
        <f t="shared" si="12"/>
        <v>9</v>
      </c>
      <c r="G44" s="14">
        <f t="shared" si="12"/>
        <v>0</v>
      </c>
      <c r="H44" s="14">
        <f t="shared" si="12"/>
        <v>0</v>
      </c>
      <c r="I44" s="14">
        <f t="shared" si="12"/>
        <v>9</v>
      </c>
      <c r="J44" s="14">
        <f t="shared" si="12"/>
        <v>0</v>
      </c>
      <c r="K44" s="14">
        <f t="shared" si="12"/>
        <v>0</v>
      </c>
      <c r="L44" s="14">
        <f t="shared" si="12"/>
        <v>0</v>
      </c>
      <c r="M44" s="14">
        <f t="shared" si="12"/>
        <v>26</v>
      </c>
      <c r="N44" s="14">
        <f t="shared" si="12"/>
        <v>0</v>
      </c>
      <c r="O44" s="90">
        <f t="shared" si="8"/>
        <v>35</v>
      </c>
      <c r="Q44" s="223">
        <f>G44</f>
        <v>0</v>
      </c>
      <c r="R44" s="223"/>
      <c r="S44" s="223"/>
    </row>
    <row r="45" spans="1:26">
      <c r="A45" s="59" t="s">
        <v>19</v>
      </c>
      <c r="B45" s="59"/>
      <c r="C45" s="59"/>
      <c r="D45" s="5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3">
        <f t="shared" si="8"/>
        <v>0</v>
      </c>
    </row>
    <row r="46" spans="1:26">
      <c r="A46" s="5" t="s">
        <v>20</v>
      </c>
      <c r="B46" s="5"/>
      <c r="C46" s="5"/>
      <c r="D46" s="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3">
        <f t="shared" si="8"/>
        <v>0</v>
      </c>
    </row>
    <row r="47" spans="1:26" s="87" customFormat="1">
      <c r="A47" s="2" t="s">
        <v>4</v>
      </c>
      <c r="B47" s="2">
        <v>1</v>
      </c>
      <c r="C47" s="2"/>
      <c r="D47" s="2">
        <v>7</v>
      </c>
      <c r="E47" s="9">
        <v>16</v>
      </c>
      <c r="F47" s="9">
        <f>22+10</f>
        <v>32</v>
      </c>
      <c r="G47" s="9">
        <v>23</v>
      </c>
      <c r="H47" s="9"/>
      <c r="I47" s="9">
        <f>SUM(B47:H47)</f>
        <v>79</v>
      </c>
      <c r="J47" s="74"/>
      <c r="K47" s="78">
        <v>28</v>
      </c>
      <c r="L47" s="74"/>
      <c r="M47" s="74"/>
      <c r="N47" s="74"/>
      <c r="O47" s="197">
        <f t="shared" si="8"/>
        <v>107</v>
      </c>
      <c r="Q47" s="19"/>
      <c r="R47" s="19"/>
      <c r="S47" s="19"/>
      <c r="T47" s="19"/>
      <c r="U47" s="19"/>
      <c r="V47" s="19" t="s">
        <v>192</v>
      </c>
      <c r="W47" s="62">
        <f>I58-(X47+Y47)</f>
        <v>165</v>
      </c>
      <c r="X47" s="116">
        <f>I52+I57</f>
        <v>189</v>
      </c>
      <c r="Y47" s="116">
        <f>I56</f>
        <v>50</v>
      </c>
      <c r="Z47" s="116">
        <f>SUM(W47:Y47)</f>
        <v>404</v>
      </c>
    </row>
    <row r="48" spans="1:26" hidden="1">
      <c r="A48" s="2" t="s">
        <v>21</v>
      </c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13">
        <f t="shared" si="8"/>
        <v>0</v>
      </c>
    </row>
    <row r="49" spans="1:23" s="87" customFormat="1">
      <c r="A49" s="2" t="s">
        <v>76</v>
      </c>
      <c r="B49" s="2"/>
      <c r="C49" s="2"/>
      <c r="D49" s="2"/>
      <c r="E49" s="9"/>
      <c r="F49" s="9">
        <v>15</v>
      </c>
      <c r="G49" s="9">
        <v>34</v>
      </c>
      <c r="H49" s="9"/>
      <c r="I49" s="9">
        <f>SUM(B49:H49)</f>
        <v>49</v>
      </c>
      <c r="J49" s="74"/>
      <c r="K49" s="78">
        <v>28</v>
      </c>
      <c r="L49" s="74"/>
      <c r="M49" s="74"/>
      <c r="N49" s="74"/>
      <c r="O49" s="197">
        <f>SUM(I49:N49)</f>
        <v>77</v>
      </c>
      <c r="Q49" s="19"/>
      <c r="R49" s="19"/>
      <c r="S49" s="19"/>
      <c r="T49" s="19"/>
      <c r="U49" s="19"/>
      <c r="V49" s="19"/>
      <c r="W49" s="19"/>
    </row>
    <row r="50" spans="1:23">
      <c r="A50" s="2" t="s">
        <v>24</v>
      </c>
      <c r="B50" s="2"/>
      <c r="C50" s="2"/>
      <c r="D50" s="2"/>
      <c r="E50" s="9"/>
      <c r="F50" s="9"/>
      <c r="G50" s="9"/>
      <c r="H50" s="9"/>
      <c r="I50" s="9">
        <f>SUM(B50:H50)</f>
        <v>0</v>
      </c>
      <c r="J50" s="9"/>
      <c r="K50" s="78">
        <v>28</v>
      </c>
      <c r="L50" s="9"/>
      <c r="M50" s="9"/>
      <c r="N50" s="9"/>
      <c r="O50" s="13">
        <f>SUM(I50:N50)</f>
        <v>28</v>
      </c>
    </row>
    <row r="51" spans="1:23" s="87" customFormat="1">
      <c r="A51" s="2" t="s">
        <v>122</v>
      </c>
      <c r="B51" s="2"/>
      <c r="C51" s="2"/>
      <c r="D51" s="2">
        <v>3</v>
      </c>
      <c r="E51" s="9">
        <v>18</v>
      </c>
      <c r="F51" s="9">
        <v>16</v>
      </c>
      <c r="G51" s="9"/>
      <c r="H51" s="9"/>
      <c r="I51" s="9">
        <f>SUM(B51:H51)</f>
        <v>37</v>
      </c>
      <c r="J51" s="78"/>
      <c r="K51" s="78"/>
      <c r="L51" s="74"/>
      <c r="M51" s="74"/>
      <c r="N51" s="74"/>
      <c r="O51" s="197">
        <f>SUM(I51:N51)</f>
        <v>37</v>
      </c>
      <c r="P51" s="87" t="s">
        <v>41</v>
      </c>
      <c r="Q51" s="19"/>
      <c r="R51" s="19"/>
      <c r="S51" s="19"/>
      <c r="T51" s="19"/>
      <c r="U51" s="19"/>
      <c r="V51" s="19"/>
      <c r="W51" s="19"/>
    </row>
    <row r="52" spans="1:23" s="87" customFormat="1">
      <c r="A52" s="2" t="s">
        <v>168</v>
      </c>
      <c r="B52" s="2"/>
      <c r="C52" s="2"/>
      <c r="D52" s="2"/>
      <c r="E52" s="9"/>
      <c r="F52" s="9">
        <v>31</v>
      </c>
      <c r="G52" s="9">
        <v>20</v>
      </c>
      <c r="H52" s="9"/>
      <c r="I52" s="9">
        <f>SUM(B52:H52)</f>
        <v>51</v>
      </c>
      <c r="J52" s="78">
        <v>21</v>
      </c>
      <c r="K52" s="78">
        <v>18</v>
      </c>
      <c r="L52" s="74">
        <v>1</v>
      </c>
      <c r="M52" s="74">
        <v>2</v>
      </c>
      <c r="N52" s="74"/>
      <c r="O52" s="197">
        <f t="shared" si="8"/>
        <v>93</v>
      </c>
      <c r="P52" s="87" t="s">
        <v>41</v>
      </c>
      <c r="Q52" s="19"/>
      <c r="R52" s="19"/>
      <c r="S52" s="19"/>
      <c r="T52" s="19"/>
      <c r="U52" s="19"/>
      <c r="V52" s="19"/>
      <c r="W52" s="19"/>
    </row>
    <row r="53" spans="1:23" hidden="1">
      <c r="A53" s="2" t="s">
        <v>23</v>
      </c>
      <c r="B53" s="2"/>
      <c r="C53" s="2"/>
      <c r="D53" s="2"/>
      <c r="E53" s="9"/>
      <c r="F53" s="9"/>
      <c r="G53" s="9"/>
      <c r="H53" s="9"/>
      <c r="I53" s="9">
        <f>SUM(B53:F53)</f>
        <v>0</v>
      </c>
      <c r="J53" s="9"/>
      <c r="K53" s="9"/>
      <c r="L53" s="9"/>
      <c r="M53" s="9"/>
      <c r="N53" s="9"/>
      <c r="O53" s="13">
        <f t="shared" si="8"/>
        <v>0</v>
      </c>
    </row>
    <row r="54" spans="1:23" hidden="1">
      <c r="A54" s="2" t="s">
        <v>24</v>
      </c>
      <c r="B54" s="2"/>
      <c r="C54" s="2"/>
      <c r="D54" s="2"/>
      <c r="E54" s="9"/>
      <c r="F54" s="9"/>
      <c r="G54" s="9"/>
      <c r="H54" s="9"/>
      <c r="I54" s="9">
        <f>SUM(B54:F54)</f>
        <v>0</v>
      </c>
      <c r="J54" s="9"/>
      <c r="K54" s="9"/>
      <c r="L54" s="78">
        <v>12</v>
      </c>
      <c r="M54" s="9"/>
      <c r="N54" s="9"/>
      <c r="O54" s="13">
        <f t="shared" si="8"/>
        <v>12</v>
      </c>
    </row>
    <row r="55" spans="1:23" hidden="1">
      <c r="A55" s="2" t="s">
        <v>110</v>
      </c>
      <c r="B55" s="2"/>
      <c r="C55" s="2"/>
      <c r="D55" s="2"/>
      <c r="E55" s="9"/>
      <c r="F55" s="9"/>
      <c r="G55" s="9"/>
      <c r="H55" s="9"/>
      <c r="I55" s="9">
        <f>SUM(B55:F55)</f>
        <v>0</v>
      </c>
      <c r="J55" s="73">
        <v>162</v>
      </c>
      <c r="K55" s="9"/>
      <c r="L55" s="74">
        <v>97</v>
      </c>
      <c r="M55" s="9"/>
      <c r="N55" s="9"/>
      <c r="O55" s="13">
        <f t="shared" si="8"/>
        <v>259</v>
      </c>
    </row>
    <row r="56" spans="1:23">
      <c r="A56" s="2" t="s">
        <v>144</v>
      </c>
      <c r="B56" s="2"/>
      <c r="C56" s="2"/>
      <c r="D56" s="2"/>
      <c r="E56" s="9">
        <v>50</v>
      </c>
      <c r="F56" s="9"/>
      <c r="G56" s="9"/>
      <c r="H56" s="9"/>
      <c r="I56" s="9">
        <f>SUM(B56:H56)</f>
        <v>50</v>
      </c>
      <c r="J56" s="64">
        <v>69</v>
      </c>
      <c r="K56" s="78"/>
      <c r="L56" s="78"/>
      <c r="M56" s="78"/>
      <c r="N56" s="64"/>
      <c r="O56" s="13">
        <f t="shared" si="8"/>
        <v>119</v>
      </c>
    </row>
    <row r="57" spans="1:23" s="87" customFormat="1">
      <c r="A57" s="54" t="s">
        <v>25</v>
      </c>
      <c r="B57" s="54">
        <v>7</v>
      </c>
      <c r="C57" s="54">
        <v>3</v>
      </c>
      <c r="D57" s="54">
        <v>7</v>
      </c>
      <c r="E57" s="276">
        <v>36</v>
      </c>
      <c r="F57" s="276">
        <f>30+16</f>
        <v>46</v>
      </c>
      <c r="G57" s="13">
        <v>39</v>
      </c>
      <c r="H57" s="13"/>
      <c r="I57" s="9">
        <f>SUM(B57:H57)</f>
        <v>138</v>
      </c>
      <c r="J57" s="79">
        <v>35</v>
      </c>
      <c r="K57" s="79">
        <v>98</v>
      </c>
      <c r="L57" s="79">
        <v>34</v>
      </c>
      <c r="M57" s="79">
        <v>14</v>
      </c>
      <c r="N57" s="79"/>
      <c r="O57" s="197">
        <f t="shared" si="8"/>
        <v>319</v>
      </c>
      <c r="Q57" s="19"/>
      <c r="R57" s="19"/>
      <c r="S57" s="19"/>
      <c r="T57" s="19"/>
      <c r="U57" s="19"/>
      <c r="V57" s="19"/>
      <c r="W57" s="19"/>
    </row>
    <row r="58" spans="1:23">
      <c r="A58" s="15" t="s">
        <v>3</v>
      </c>
      <c r="B58" s="14">
        <f>SUM(B46:B57)</f>
        <v>8</v>
      </c>
      <c r="C58" s="14">
        <f t="shared" ref="C58:N58" si="13">SUM(C46:C57)</f>
        <v>3</v>
      </c>
      <c r="D58" s="14">
        <f t="shared" si="13"/>
        <v>17</v>
      </c>
      <c r="E58" s="14">
        <f t="shared" si="13"/>
        <v>120</v>
      </c>
      <c r="F58" s="14">
        <f t="shared" si="13"/>
        <v>140</v>
      </c>
      <c r="G58" s="14">
        <f t="shared" si="13"/>
        <v>116</v>
      </c>
      <c r="H58" s="14">
        <f t="shared" si="13"/>
        <v>0</v>
      </c>
      <c r="I58" s="14">
        <f>SUM(I46:I57)</f>
        <v>404</v>
      </c>
      <c r="J58" s="14">
        <f t="shared" si="13"/>
        <v>287</v>
      </c>
      <c r="K58" s="14">
        <f t="shared" si="13"/>
        <v>200</v>
      </c>
      <c r="L58" s="14">
        <f t="shared" si="13"/>
        <v>144</v>
      </c>
      <c r="M58" s="14">
        <f t="shared" si="13"/>
        <v>16</v>
      </c>
      <c r="N58" s="14">
        <f t="shared" si="13"/>
        <v>0</v>
      </c>
      <c r="O58" s="90">
        <f t="shared" si="8"/>
        <v>1051</v>
      </c>
      <c r="P58" s="69">
        <f>26+48+23+18+56+38</f>
        <v>209</v>
      </c>
      <c r="Q58" s="223">
        <f>G58</f>
        <v>116</v>
      </c>
      <c r="R58" s="223"/>
      <c r="S58" s="223"/>
      <c r="T58" s="223"/>
      <c r="U58" s="62">
        <f>I58+I82</f>
        <v>1024</v>
      </c>
      <c r="V58" s="62">
        <f>I56+I57+I60</f>
        <v>499</v>
      </c>
    </row>
    <row r="59" spans="1:23">
      <c r="A59" s="11" t="s">
        <v>26</v>
      </c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>
        <f t="shared" si="8"/>
        <v>0</v>
      </c>
    </row>
    <row r="60" spans="1:23" s="87" customFormat="1">
      <c r="A60" s="2" t="s">
        <v>123</v>
      </c>
      <c r="B60" s="2"/>
      <c r="C60" s="2">
        <v>3</v>
      </c>
      <c r="D60" s="2">
        <f>3+12</f>
        <v>15</v>
      </c>
      <c r="E60" s="9">
        <f>42+33</f>
        <v>75</v>
      </c>
      <c r="F60" s="9">
        <f>28+25+14+41+26</f>
        <v>134</v>
      </c>
      <c r="G60" s="9">
        <f>48+36</f>
        <v>84</v>
      </c>
      <c r="H60" s="9"/>
      <c r="I60" s="9">
        <f>SUM(B60:H60)</f>
        <v>311</v>
      </c>
      <c r="J60" s="78">
        <v>69</v>
      </c>
      <c r="K60" s="78"/>
      <c r="L60" s="78"/>
      <c r="M60" s="78"/>
      <c r="N60" s="78"/>
      <c r="O60" s="197">
        <f t="shared" si="8"/>
        <v>380</v>
      </c>
      <c r="Q60" s="19"/>
      <c r="R60" s="19"/>
      <c r="S60" s="19"/>
      <c r="T60" s="19"/>
      <c r="U60" s="287" t="s">
        <v>149</v>
      </c>
      <c r="V60" s="288" t="s">
        <v>158</v>
      </c>
      <c r="W60" s="289"/>
    </row>
    <row r="61" spans="1:23" hidden="1">
      <c r="A61" s="2" t="s">
        <v>118</v>
      </c>
      <c r="B61" s="2"/>
      <c r="C61" s="2"/>
      <c r="D61" s="2"/>
      <c r="E61" s="9"/>
      <c r="F61" s="9"/>
      <c r="G61" s="9"/>
      <c r="H61" s="9"/>
      <c r="I61" s="9"/>
      <c r="J61" s="64"/>
      <c r="K61" s="78">
        <v>126</v>
      </c>
      <c r="L61" s="78">
        <v>48</v>
      </c>
      <c r="M61" s="78">
        <v>49</v>
      </c>
      <c r="N61" s="64"/>
      <c r="O61" s="13">
        <f t="shared" si="8"/>
        <v>223</v>
      </c>
      <c r="U61" s="290"/>
      <c r="V61" s="291"/>
      <c r="W61" s="292"/>
    </row>
    <row r="62" spans="1:23" hidden="1">
      <c r="A62" s="2" t="s">
        <v>68</v>
      </c>
      <c r="B62" s="2"/>
      <c r="C62" s="2"/>
      <c r="D62" s="2"/>
      <c r="E62" s="9"/>
      <c r="F62" s="9"/>
      <c r="G62" s="9"/>
      <c r="H62" s="9"/>
      <c r="I62" s="9"/>
      <c r="J62" s="9"/>
      <c r="K62" s="78"/>
      <c r="L62" s="9"/>
      <c r="M62" s="9"/>
      <c r="N62" s="9"/>
      <c r="O62" s="13">
        <f t="shared" si="8"/>
        <v>0</v>
      </c>
      <c r="P62" s="61" t="s">
        <v>70</v>
      </c>
      <c r="U62" s="290"/>
      <c r="V62" s="291"/>
      <c r="W62" s="292"/>
    </row>
    <row r="63" spans="1:23">
      <c r="A63" s="2" t="s">
        <v>143</v>
      </c>
      <c r="B63" s="2">
        <f>1</f>
        <v>1</v>
      </c>
      <c r="C63" s="2"/>
      <c r="D63" s="2"/>
      <c r="E63" s="9"/>
      <c r="F63" s="9"/>
      <c r="G63" s="9"/>
      <c r="H63" s="9"/>
      <c r="I63" s="9">
        <f>SUM(B63:H63)</f>
        <v>1</v>
      </c>
      <c r="J63" s="64">
        <v>69</v>
      </c>
      <c r="K63" s="78"/>
      <c r="L63" s="78"/>
      <c r="M63" s="78"/>
      <c r="N63" s="64"/>
      <c r="O63" s="13">
        <f>SUM(I63:N63)</f>
        <v>70</v>
      </c>
      <c r="U63" s="293">
        <f>I60+I63</f>
        <v>312</v>
      </c>
      <c r="V63" s="294">
        <f>I64+I66+I69+I76+I77+I79+I80</f>
        <v>242</v>
      </c>
      <c r="W63" s="295"/>
    </row>
    <row r="64" spans="1:23" s="87" customFormat="1">
      <c r="A64" s="2" t="s">
        <v>223</v>
      </c>
      <c r="B64" s="2"/>
      <c r="C64" s="2"/>
      <c r="D64" s="2"/>
      <c r="E64" s="9"/>
      <c r="F64" s="9">
        <v>3</v>
      </c>
      <c r="G64" s="9">
        <v>19</v>
      </c>
      <c r="H64" s="9"/>
      <c r="I64" s="9">
        <f>SUM(B64:H65)</f>
        <v>22</v>
      </c>
      <c r="J64" s="74"/>
      <c r="K64" s="74"/>
      <c r="L64" s="74"/>
      <c r="M64" s="74"/>
      <c r="N64" s="74"/>
      <c r="O64" s="197">
        <f t="shared" si="8"/>
        <v>22</v>
      </c>
      <c r="Q64" s="19"/>
      <c r="R64" s="19"/>
      <c r="S64" s="19"/>
      <c r="T64" s="19"/>
      <c r="U64" s="278"/>
      <c r="V64" s="19"/>
      <c r="W64" s="19"/>
    </row>
    <row r="65" spans="1:24" hidden="1">
      <c r="A65" s="2" t="s">
        <v>124</v>
      </c>
      <c r="B65" s="2"/>
      <c r="C65" s="2"/>
      <c r="D65" s="2"/>
      <c r="E65" s="9"/>
      <c r="F65" s="9"/>
      <c r="G65" s="9"/>
      <c r="H65" s="9"/>
      <c r="I65" s="9">
        <f>SUM(B65:G65)</f>
        <v>0</v>
      </c>
      <c r="J65" s="64">
        <v>128</v>
      </c>
      <c r="K65" s="78">
        <v>122</v>
      </c>
      <c r="L65" s="64">
        <v>11</v>
      </c>
      <c r="M65" s="9">
        <v>7</v>
      </c>
      <c r="N65" s="64"/>
      <c r="O65" s="13">
        <f t="shared" si="8"/>
        <v>268</v>
      </c>
      <c r="U65" s="62"/>
      <c r="X65" s="19">
        <f>2498+60</f>
        <v>2558</v>
      </c>
    </row>
    <row r="66" spans="1:24" s="87" customFormat="1">
      <c r="A66" s="2" t="s">
        <v>221</v>
      </c>
      <c r="B66" s="2"/>
      <c r="C66" s="2"/>
      <c r="D66" s="2"/>
      <c r="E66" s="9"/>
      <c r="F66" s="9"/>
      <c r="G66" s="9"/>
      <c r="H66" s="9"/>
      <c r="I66" s="9">
        <f>SUM(B66:H66)</f>
        <v>0</v>
      </c>
      <c r="J66" s="78"/>
      <c r="K66" s="78"/>
      <c r="L66" s="78"/>
      <c r="M66" s="74"/>
      <c r="N66" s="74"/>
      <c r="O66" s="197">
        <f t="shared" si="8"/>
        <v>0</v>
      </c>
      <c r="Q66" s="19"/>
      <c r="R66" s="19"/>
      <c r="S66" s="19"/>
      <c r="T66" s="19"/>
      <c r="U66" s="19"/>
      <c r="V66" s="19"/>
      <c r="W66" s="19"/>
    </row>
    <row r="67" spans="1:24" hidden="1">
      <c r="A67" s="2" t="s">
        <v>69</v>
      </c>
      <c r="B67" s="2"/>
      <c r="C67" s="2"/>
      <c r="D67" s="2"/>
      <c r="E67" s="9"/>
      <c r="F67" s="9"/>
      <c r="G67" s="9"/>
      <c r="H67" s="9"/>
      <c r="I67" s="9">
        <f t="shared" ref="I67:I75" si="14">SUM(B67:F67)</f>
        <v>0</v>
      </c>
      <c r="J67" s="74"/>
      <c r="K67" s="78"/>
      <c r="L67" s="78"/>
      <c r="M67" s="9"/>
      <c r="N67" s="9"/>
      <c r="O67" s="13">
        <f t="shared" si="8"/>
        <v>0</v>
      </c>
      <c r="P67" s="61" t="s">
        <v>70</v>
      </c>
    </row>
    <row r="68" spans="1:24" s="87" customFormat="1">
      <c r="A68" s="2" t="s">
        <v>42</v>
      </c>
      <c r="B68" s="2"/>
      <c r="C68" s="2"/>
      <c r="D68" s="2"/>
      <c r="E68" s="9">
        <v>3</v>
      </c>
      <c r="F68" s="9">
        <f>15+5</f>
        <v>20</v>
      </c>
      <c r="G68" s="9">
        <v>43</v>
      </c>
      <c r="H68" s="9"/>
      <c r="I68" s="9">
        <f>SUM(B68:H68)</f>
        <v>66</v>
      </c>
      <c r="J68" s="78"/>
      <c r="K68" s="78"/>
      <c r="L68" s="78"/>
      <c r="M68" s="74"/>
      <c r="N68" s="74"/>
      <c r="O68" s="197">
        <f t="shared" ref="O68" si="15">SUM(I68:N68)</f>
        <v>66</v>
      </c>
      <c r="Q68" s="19"/>
      <c r="R68" s="19"/>
      <c r="S68" s="19"/>
      <c r="T68" s="19"/>
      <c r="U68" s="19"/>
      <c r="V68" s="19"/>
      <c r="W68" s="19"/>
    </row>
    <row r="69" spans="1:24" s="87" customFormat="1">
      <c r="A69" s="2" t="s">
        <v>222</v>
      </c>
      <c r="B69" s="2"/>
      <c r="C69" s="2"/>
      <c r="D69" s="2">
        <v>3</v>
      </c>
      <c r="E69" s="9">
        <f>3+1+1</f>
        <v>5</v>
      </c>
      <c r="F69" s="9">
        <f>43+20</f>
        <v>63</v>
      </c>
      <c r="G69" s="9">
        <f>28+27</f>
        <v>55</v>
      </c>
      <c r="H69" s="9"/>
      <c r="I69" s="9">
        <f>SUM(B69:H69)</f>
        <v>126</v>
      </c>
      <c r="J69" s="78"/>
      <c r="K69" s="78"/>
      <c r="L69" s="74"/>
      <c r="M69" s="78"/>
      <c r="N69" s="74"/>
      <c r="O69" s="197">
        <f t="shared" si="8"/>
        <v>126</v>
      </c>
      <c r="Q69" s="19"/>
      <c r="R69" s="19"/>
      <c r="S69" s="19"/>
      <c r="T69" s="19"/>
      <c r="U69" s="19"/>
      <c r="V69" s="19"/>
      <c r="W69" s="19"/>
    </row>
    <row r="70" spans="1:24" hidden="1">
      <c r="A70" s="2" t="s">
        <v>29</v>
      </c>
      <c r="B70" s="2"/>
      <c r="C70" s="2"/>
      <c r="D70" s="2"/>
      <c r="E70" s="9"/>
      <c r="F70" s="9"/>
      <c r="G70" s="9"/>
      <c r="H70" s="9"/>
      <c r="I70" s="9">
        <f t="shared" si="14"/>
        <v>0</v>
      </c>
      <c r="J70" s="64"/>
      <c r="K70" s="9"/>
      <c r="L70" s="9"/>
      <c r="M70" s="9"/>
      <c r="N70" s="9"/>
      <c r="O70" s="13">
        <f t="shared" si="8"/>
        <v>0</v>
      </c>
    </row>
    <row r="71" spans="1:24" hidden="1">
      <c r="A71" s="2" t="s">
        <v>95</v>
      </c>
      <c r="B71" s="2"/>
      <c r="C71" s="2"/>
      <c r="D71" s="2"/>
      <c r="E71" s="9"/>
      <c r="F71" s="9"/>
      <c r="G71" s="9"/>
      <c r="H71" s="9"/>
      <c r="I71" s="9">
        <f t="shared" si="14"/>
        <v>0</v>
      </c>
      <c r="J71" s="64"/>
      <c r="K71" s="9"/>
      <c r="L71" s="9"/>
      <c r="M71" s="9"/>
      <c r="N71" s="9"/>
      <c r="O71" s="13">
        <f t="shared" si="8"/>
        <v>0</v>
      </c>
    </row>
    <row r="72" spans="1:24" hidden="1">
      <c r="A72" s="2" t="s">
        <v>30</v>
      </c>
      <c r="B72" s="2"/>
      <c r="C72" s="2"/>
      <c r="D72" s="2"/>
      <c r="E72" s="9"/>
      <c r="F72" s="9"/>
      <c r="G72" s="9"/>
      <c r="H72" s="9"/>
      <c r="I72" s="9">
        <f t="shared" si="14"/>
        <v>0</v>
      </c>
      <c r="J72" s="9"/>
      <c r="K72" s="9"/>
      <c r="L72" s="9"/>
      <c r="M72" s="9"/>
      <c r="N72" s="9"/>
      <c r="O72" s="13">
        <f t="shared" si="8"/>
        <v>0</v>
      </c>
    </row>
    <row r="73" spans="1:24" hidden="1">
      <c r="A73" s="2" t="s">
        <v>31</v>
      </c>
      <c r="B73" s="2"/>
      <c r="C73" s="2"/>
      <c r="D73" s="2"/>
      <c r="E73" s="9"/>
      <c r="F73" s="9"/>
      <c r="G73" s="9"/>
      <c r="H73" s="9"/>
      <c r="I73" s="9">
        <f t="shared" si="14"/>
        <v>0</v>
      </c>
      <c r="J73" s="9"/>
      <c r="K73" s="9"/>
      <c r="L73" s="9"/>
      <c r="M73" s="9"/>
      <c r="N73" s="9"/>
      <c r="O73" s="13">
        <f t="shared" si="8"/>
        <v>0</v>
      </c>
    </row>
    <row r="74" spans="1:24" hidden="1">
      <c r="A74" s="2" t="s">
        <v>32</v>
      </c>
      <c r="B74" s="2"/>
      <c r="C74" s="2"/>
      <c r="D74" s="2"/>
      <c r="E74" s="9"/>
      <c r="F74" s="9"/>
      <c r="G74" s="9"/>
      <c r="H74" s="9"/>
      <c r="I74" s="9">
        <f t="shared" si="14"/>
        <v>0</v>
      </c>
      <c r="J74" s="9"/>
      <c r="K74" s="64">
        <v>26</v>
      </c>
      <c r="L74" s="64">
        <v>1</v>
      </c>
      <c r="M74" s="9"/>
      <c r="N74" s="9"/>
      <c r="O74" s="13">
        <f t="shared" si="8"/>
        <v>27</v>
      </c>
    </row>
    <row r="75" spans="1:24" hidden="1">
      <c r="A75" s="2" t="s">
        <v>33</v>
      </c>
      <c r="B75" s="2"/>
      <c r="C75" s="2"/>
      <c r="D75" s="2"/>
      <c r="E75" s="9"/>
      <c r="F75" s="9"/>
      <c r="G75" s="9"/>
      <c r="H75" s="9"/>
      <c r="I75" s="9">
        <f t="shared" si="14"/>
        <v>0</v>
      </c>
      <c r="J75" s="9">
        <v>85</v>
      </c>
      <c r="K75" s="9">
        <v>66</v>
      </c>
      <c r="L75" s="64">
        <v>14</v>
      </c>
      <c r="M75" s="9">
        <v>7</v>
      </c>
      <c r="N75" s="9"/>
      <c r="O75" s="13">
        <f t="shared" si="8"/>
        <v>172</v>
      </c>
    </row>
    <row r="76" spans="1:24" hidden="1">
      <c r="A76" s="2" t="s">
        <v>142</v>
      </c>
      <c r="B76" s="2"/>
      <c r="C76" s="2"/>
      <c r="D76" s="2"/>
      <c r="E76" s="9"/>
      <c r="F76" s="9"/>
      <c r="G76" s="9"/>
      <c r="H76" s="9"/>
      <c r="I76" s="9">
        <f>SUM(B76:G76)</f>
        <v>0</v>
      </c>
      <c r="J76" s="64"/>
      <c r="K76" s="78"/>
      <c r="L76" s="9"/>
      <c r="M76" s="64"/>
      <c r="N76" s="9"/>
      <c r="O76" s="13">
        <f>SUM(I76:N76)</f>
        <v>0</v>
      </c>
    </row>
    <row r="77" spans="1:24" hidden="1">
      <c r="A77" s="2" t="s">
        <v>146</v>
      </c>
      <c r="B77" s="2"/>
      <c r="C77" s="2"/>
      <c r="D77" s="2"/>
      <c r="E77" s="9"/>
      <c r="F77" s="9"/>
      <c r="G77" s="9"/>
      <c r="H77" s="9"/>
      <c r="I77" s="9">
        <f>SUM(B77:G77)</f>
        <v>0</v>
      </c>
      <c r="J77" s="9"/>
      <c r="K77" s="9"/>
      <c r="L77" s="9"/>
      <c r="M77" s="9"/>
      <c r="N77" s="9"/>
      <c r="O77" s="13">
        <f>SUM(I77:N77)</f>
        <v>0</v>
      </c>
    </row>
    <row r="78" spans="1:24" s="87" customFormat="1">
      <c r="A78" s="2" t="s">
        <v>220</v>
      </c>
      <c r="B78" s="2"/>
      <c r="C78" s="2"/>
      <c r="D78" s="2"/>
      <c r="E78" s="9"/>
      <c r="F78" s="9"/>
      <c r="G78" s="9"/>
      <c r="H78" s="9"/>
      <c r="I78" s="9">
        <f>SUM(B78:H78)</f>
        <v>0</v>
      </c>
      <c r="J78" s="78">
        <v>170</v>
      </c>
      <c r="K78" s="78">
        <v>102</v>
      </c>
      <c r="L78" s="78">
        <v>9</v>
      </c>
      <c r="M78" s="74">
        <v>5</v>
      </c>
      <c r="N78" s="74"/>
      <c r="O78" s="197">
        <f>SUM(I78:N78)</f>
        <v>286</v>
      </c>
      <c r="Q78" s="19"/>
      <c r="R78" s="19"/>
      <c r="S78" s="19"/>
      <c r="T78" s="19"/>
      <c r="U78" s="62">
        <f>I65</f>
        <v>0</v>
      </c>
      <c r="V78" s="62">
        <f>I59</f>
        <v>0</v>
      </c>
      <c r="W78" s="19"/>
    </row>
    <row r="79" spans="1:24" s="87" customFormat="1">
      <c r="A79" s="2" t="s">
        <v>141</v>
      </c>
      <c r="B79" s="2"/>
      <c r="C79" s="2"/>
      <c r="D79" s="2">
        <v>3</v>
      </c>
      <c r="E79" s="9">
        <v>4</v>
      </c>
      <c r="F79" s="9">
        <f>11+5+1</f>
        <v>17</v>
      </c>
      <c r="G79" s="9">
        <f>36+34</f>
        <v>70</v>
      </c>
      <c r="H79" s="9"/>
      <c r="I79" s="9">
        <f>SUM(B79:H79)</f>
        <v>94</v>
      </c>
      <c r="J79" s="78">
        <v>170</v>
      </c>
      <c r="K79" s="78">
        <v>102</v>
      </c>
      <c r="L79" s="78">
        <v>9</v>
      </c>
      <c r="M79" s="74">
        <v>5</v>
      </c>
      <c r="N79" s="74"/>
      <c r="O79" s="197">
        <f>SUM(I79:N79)</f>
        <v>380</v>
      </c>
      <c r="Q79" s="19"/>
      <c r="R79" s="19"/>
      <c r="S79" s="19"/>
      <c r="T79" s="19"/>
      <c r="U79" s="62">
        <f>I66</f>
        <v>0</v>
      </c>
      <c r="V79" s="62">
        <f>I60</f>
        <v>311</v>
      </c>
      <c r="W79" s="19"/>
    </row>
    <row r="80" spans="1:24" hidden="1">
      <c r="A80" s="2" t="s">
        <v>157</v>
      </c>
      <c r="B80" s="2"/>
      <c r="C80" s="2"/>
      <c r="D80" s="2"/>
      <c r="E80" s="9"/>
      <c r="F80" s="9"/>
      <c r="G80" s="9"/>
      <c r="H80" s="9"/>
      <c r="I80" s="9">
        <f>SUM(B80:G80)</f>
        <v>0</v>
      </c>
      <c r="J80" s="9"/>
      <c r="K80" s="9"/>
      <c r="L80" s="9"/>
      <c r="M80" s="9"/>
      <c r="N80" s="9"/>
      <c r="O80" s="13">
        <f t="shared" si="8"/>
        <v>0</v>
      </c>
    </row>
    <row r="81" spans="1:23" hidden="1">
      <c r="A81" s="54" t="s">
        <v>35</v>
      </c>
      <c r="B81" s="4"/>
      <c r="C81" s="4"/>
      <c r="D81" s="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f t="shared" si="8"/>
        <v>0</v>
      </c>
    </row>
    <row r="82" spans="1:23">
      <c r="A82" s="15" t="s">
        <v>3</v>
      </c>
      <c r="B82" s="14">
        <f>SUM(B60:B81)</f>
        <v>1</v>
      </c>
      <c r="C82" s="14">
        <f>SUM(C60:C81)</f>
        <v>3</v>
      </c>
      <c r="D82" s="14">
        <f>SUM(D60:D81)</f>
        <v>21</v>
      </c>
      <c r="E82" s="14">
        <f>SUM(E60:E81)</f>
        <v>87</v>
      </c>
      <c r="F82" s="14">
        <f>SUM(F60:F81)</f>
        <v>237</v>
      </c>
      <c r="G82" s="14">
        <f t="shared" ref="G82:N82" si="16">SUM(G60:G81)</f>
        <v>271</v>
      </c>
      <c r="H82" s="14">
        <f t="shared" si="16"/>
        <v>0</v>
      </c>
      <c r="I82" s="14">
        <f t="shared" si="16"/>
        <v>620</v>
      </c>
      <c r="J82" s="14">
        <f t="shared" si="16"/>
        <v>691</v>
      </c>
      <c r="K82" s="14">
        <f t="shared" si="16"/>
        <v>544</v>
      </c>
      <c r="L82" s="14">
        <f t="shared" si="16"/>
        <v>92</v>
      </c>
      <c r="M82" s="14">
        <f t="shared" si="16"/>
        <v>73</v>
      </c>
      <c r="N82" s="14">
        <f t="shared" si="16"/>
        <v>0</v>
      </c>
      <c r="O82" s="92">
        <f t="shared" si="8"/>
        <v>2020</v>
      </c>
      <c r="Q82" s="223">
        <f>G82</f>
        <v>271</v>
      </c>
      <c r="R82" s="223"/>
      <c r="S82" s="223"/>
      <c r="U82" s="62">
        <f>I82-(U79+V79)</f>
        <v>309</v>
      </c>
      <c r="V82" s="62">
        <f>I60</f>
        <v>311</v>
      </c>
    </row>
    <row r="83" spans="1:23">
      <c r="A83" s="14" t="s">
        <v>36</v>
      </c>
      <c r="B83" s="91">
        <f>SUM(B20,B36,B44,B58,B82,B40)</f>
        <v>12</v>
      </c>
      <c r="C83" s="91">
        <f t="shared" ref="C83:H83" si="17">SUM(C20,C36,C44,C58,C82,C40)</f>
        <v>17</v>
      </c>
      <c r="D83" s="91">
        <f t="shared" si="17"/>
        <v>301</v>
      </c>
      <c r="E83" s="91">
        <f t="shared" si="17"/>
        <v>644</v>
      </c>
      <c r="F83" s="91">
        <f t="shared" si="17"/>
        <v>534</v>
      </c>
      <c r="G83" s="91">
        <f t="shared" si="17"/>
        <v>492</v>
      </c>
      <c r="H83" s="91">
        <f t="shared" si="17"/>
        <v>0</v>
      </c>
      <c r="I83" s="91">
        <f>SUM(I20,I36,I44,I58,I82,I40)</f>
        <v>2000</v>
      </c>
      <c r="J83" s="91">
        <f t="shared" ref="J83:O83" si="18">SUM(J20,J36,J44,J58,J82)</f>
        <v>1490</v>
      </c>
      <c r="K83" s="91">
        <f t="shared" si="18"/>
        <v>1336</v>
      </c>
      <c r="L83" s="91">
        <f t="shared" si="18"/>
        <v>294</v>
      </c>
      <c r="M83" s="91">
        <f t="shared" si="18"/>
        <v>170</v>
      </c>
      <c r="N83" s="91">
        <f t="shared" si="18"/>
        <v>0</v>
      </c>
      <c r="O83" s="91">
        <f t="shared" si="18"/>
        <v>5254</v>
      </c>
      <c r="P83" s="19">
        <v>3678</v>
      </c>
      <c r="Q83" s="296">
        <f>SUM(Q6:Q82)</f>
        <v>492</v>
      </c>
      <c r="R83" s="297"/>
      <c r="S83" s="297"/>
      <c r="V83" s="62">
        <f>E83+11+5</f>
        <v>660</v>
      </c>
      <c r="W83" s="62">
        <f>I83+16</f>
        <v>2016</v>
      </c>
    </row>
    <row r="84" spans="1:23">
      <c r="Q84" s="19">
        <f>3554-329</f>
        <v>3225</v>
      </c>
    </row>
    <row r="85" spans="1:23">
      <c r="A85" s="335" t="s">
        <v>287</v>
      </c>
      <c r="F85" s="120">
        <f>F83+บัณฑิตศึกษา!F41</f>
        <v>655</v>
      </c>
      <c r="G85" s="120"/>
      <c r="H85" s="120"/>
      <c r="I85" s="232">
        <f>I83+บัณฑิตศึกษา!I41</f>
        <v>3040</v>
      </c>
      <c r="O85" s="62">
        <v>28</v>
      </c>
    </row>
    <row r="86" spans="1:23">
      <c r="F86" s="62">
        <f>B83+E83+F83</f>
        <v>1190</v>
      </c>
    </row>
    <row r="87" spans="1:23">
      <c r="I87" s="62">
        <f>I83+บัณฑิตศึกษา!I41</f>
        <v>3040</v>
      </c>
    </row>
    <row r="89" spans="1:23">
      <c r="A89" s="277" t="s">
        <v>39</v>
      </c>
      <c r="B89" s="62">
        <f>F20</f>
        <v>44</v>
      </c>
      <c r="I89" s="19">
        <v>1436</v>
      </c>
      <c r="U89" s="19">
        <f>3606+153</f>
        <v>3759</v>
      </c>
    </row>
    <row r="90" spans="1:23">
      <c r="A90" s="277" t="s">
        <v>149</v>
      </c>
      <c r="B90" s="62">
        <f>(F36+F58+F82)-B91</f>
        <v>465</v>
      </c>
    </row>
    <row r="91" spans="1:23">
      <c r="A91" s="277" t="s">
        <v>41</v>
      </c>
      <c r="B91" s="19">
        <f>U64</f>
        <v>0</v>
      </c>
      <c r="U91" s="62">
        <f>I83-U89</f>
        <v>-1759</v>
      </c>
    </row>
    <row r="92" spans="1:23">
      <c r="A92" s="277" t="s">
        <v>152</v>
      </c>
      <c r="B92" s="19">
        <v>0</v>
      </c>
      <c r="I92" s="62">
        <f>I83-67</f>
        <v>1933</v>
      </c>
    </row>
    <row r="93" spans="1:23">
      <c r="A93" s="277" t="s">
        <v>150</v>
      </c>
      <c r="B93" s="19">
        <f>บัณฑิตศึกษา!F44</f>
        <v>0</v>
      </c>
    </row>
    <row r="94" spans="1:23">
      <c r="A94" s="277" t="s">
        <v>151</v>
      </c>
      <c r="B94" s="19">
        <f>บัณฑิตศึกษา!F45</f>
        <v>0</v>
      </c>
    </row>
    <row r="95" spans="1:23">
      <c r="B95" s="62">
        <f>SUM(B89:B94)</f>
        <v>509</v>
      </c>
    </row>
    <row r="96" spans="1:23">
      <c r="A96" s="278"/>
      <c r="B96" s="278"/>
      <c r="C96" s="278"/>
    </row>
    <row r="99" spans="1:4">
      <c r="B99" s="19" t="s">
        <v>156</v>
      </c>
      <c r="C99" s="19" t="s">
        <v>155</v>
      </c>
    </row>
    <row r="100" spans="1:4">
      <c r="A100" s="277" t="s">
        <v>207</v>
      </c>
    </row>
    <row r="101" spans="1:4">
      <c r="A101" s="277" t="s">
        <v>65</v>
      </c>
    </row>
    <row r="102" spans="1:4">
      <c r="A102" s="277" t="s">
        <v>208</v>
      </c>
      <c r="B102" s="62">
        <f>Q44+Q40+Q36</f>
        <v>105</v>
      </c>
      <c r="C102" s="62">
        <f>Q82+Q58</f>
        <v>387</v>
      </c>
      <c r="D102" s="62">
        <f>SUM(B102:C102)</f>
        <v>492</v>
      </c>
    </row>
    <row r="103" spans="1:4">
      <c r="A103" s="277" t="s">
        <v>209</v>
      </c>
    </row>
    <row r="104" spans="1:4">
      <c r="A104" s="277" t="s">
        <v>134</v>
      </c>
    </row>
    <row r="105" spans="1:4">
      <c r="A105" s="277" t="s">
        <v>3</v>
      </c>
    </row>
  </sheetData>
  <mergeCells count="10">
    <mergeCell ref="Q8:Q9"/>
    <mergeCell ref="R8:V8"/>
    <mergeCell ref="W8:W9"/>
    <mergeCell ref="R23:T23"/>
    <mergeCell ref="A1:P1"/>
    <mergeCell ref="B2:H2"/>
    <mergeCell ref="I2:I3"/>
    <mergeCell ref="A3:A4"/>
    <mergeCell ref="O3:O4"/>
    <mergeCell ref="Q6:W6"/>
  </mergeCells>
  <printOptions horizontalCentered="1"/>
  <pageMargins left="0.62992125984251968" right="0.59055118110236227" top="0.21" bottom="0" header="0.56000000000000005" footer="0.31496062992125984"/>
  <pageSetup paperSize="9" scale="92" orientation="portrait" r:id="rId1"/>
  <headerFooter alignWithMargins="0"/>
  <rowBreaks count="1" manualBreakCount="1"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1"/>
  <sheetViews>
    <sheetView zoomScaleSheetLayoutView="90" workbookViewId="0">
      <pane ySplit="4" topLeftCell="A106" activePane="bottomLeft" state="frozen"/>
      <selection pane="bottomLeft" activeCell="R55" sqref="R55"/>
    </sheetView>
  </sheetViews>
  <sheetFormatPr defaultRowHeight="21" customHeight="1"/>
  <cols>
    <col min="1" max="1" width="41.7109375" style="93" customWidth="1"/>
    <col min="2" max="3" width="7.42578125" style="93" customWidth="1"/>
    <col min="4" max="4" width="7.42578125" style="126" customWidth="1"/>
    <col min="5" max="7" width="7.42578125" style="112" customWidth="1"/>
    <col min="8" max="8" width="7.42578125" style="112" hidden="1" customWidth="1"/>
    <col min="9" max="9" width="9.7109375" style="112" customWidth="1"/>
    <col min="10" max="11" width="10.85546875" style="112" hidden="1" customWidth="1"/>
    <col min="12" max="12" width="10" style="112" hidden="1" customWidth="1"/>
    <col min="13" max="14" width="10.85546875" style="112" hidden="1" customWidth="1"/>
    <col min="15" max="15" width="10.85546875" style="112" customWidth="1"/>
    <col min="16" max="16" width="28.140625" style="179" customWidth="1"/>
    <col min="17" max="24" width="10.85546875" style="112" customWidth="1"/>
    <col min="25" max="16384" width="9.140625" style="93"/>
  </cols>
  <sheetData>
    <row r="1" spans="1:29" ht="21" customHeight="1">
      <c r="A1" s="787" t="s">
        <v>347</v>
      </c>
      <c r="B1" s="787"/>
      <c r="C1" s="787"/>
      <c r="D1" s="787"/>
      <c r="E1" s="787"/>
      <c r="F1" s="787"/>
      <c r="G1" s="787"/>
      <c r="H1" s="787"/>
      <c r="I1" s="787"/>
      <c r="J1" s="479"/>
      <c r="K1" s="479"/>
      <c r="L1" s="479"/>
      <c r="M1" s="479"/>
      <c r="N1" s="479"/>
      <c r="O1" s="630"/>
      <c r="P1" s="602"/>
      <c r="Q1" s="524"/>
      <c r="R1" s="524"/>
      <c r="S1" s="524"/>
      <c r="T1" s="524"/>
      <c r="U1" s="524"/>
      <c r="V1" s="524"/>
      <c r="W1" s="479"/>
      <c r="X1" s="479"/>
    </row>
    <row r="2" spans="1:29" ht="21" customHeight="1">
      <c r="A2" s="794"/>
      <c r="B2" s="794"/>
      <c r="C2" s="794"/>
      <c r="D2" s="794"/>
      <c r="E2" s="794"/>
      <c r="F2" s="794"/>
      <c r="G2" s="794"/>
      <c r="H2" s="794"/>
      <c r="I2" s="794"/>
      <c r="J2" s="480"/>
      <c r="K2" s="480"/>
      <c r="L2" s="480"/>
      <c r="M2" s="480"/>
      <c r="N2" s="480"/>
      <c r="O2" s="629"/>
      <c r="P2" s="827" t="s">
        <v>313</v>
      </c>
      <c r="Q2" s="827"/>
      <c r="R2" s="827"/>
      <c r="S2" s="827"/>
      <c r="T2" s="827"/>
      <c r="U2" s="827"/>
      <c r="V2" s="827"/>
      <c r="W2" s="480"/>
      <c r="X2" s="480"/>
    </row>
    <row r="3" spans="1:29" ht="21" customHeight="1">
      <c r="A3" s="788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521" t="s">
        <v>3</v>
      </c>
      <c r="J3" s="479"/>
      <c r="K3" s="479"/>
      <c r="L3" s="479"/>
      <c r="M3" s="479"/>
      <c r="N3" s="479"/>
      <c r="O3" s="630"/>
      <c r="P3" s="833" t="s">
        <v>352</v>
      </c>
      <c r="Q3" s="833"/>
      <c r="R3" s="833"/>
      <c r="S3" s="833"/>
      <c r="T3" s="833"/>
      <c r="U3" s="833"/>
      <c r="V3" s="833"/>
      <c r="W3" s="479"/>
      <c r="X3" s="479"/>
    </row>
    <row r="4" spans="1:29" ht="21" customHeight="1">
      <c r="A4" s="789"/>
      <c r="B4" s="616"/>
      <c r="C4" s="527"/>
      <c r="D4" s="518"/>
      <c r="E4" s="518"/>
      <c r="F4" s="518"/>
      <c r="G4" s="518"/>
      <c r="H4" s="518"/>
      <c r="I4" s="519"/>
      <c r="J4" s="157"/>
      <c r="K4" s="157"/>
      <c r="L4" s="157"/>
      <c r="M4" s="157"/>
      <c r="N4" s="157"/>
      <c r="O4" s="157"/>
      <c r="P4" s="828" t="s">
        <v>201</v>
      </c>
      <c r="Q4" s="830" t="s">
        <v>202</v>
      </c>
      <c r="R4" s="830"/>
      <c r="S4" s="830"/>
      <c r="T4" s="830"/>
      <c r="U4" s="830"/>
      <c r="V4" s="831" t="s">
        <v>3</v>
      </c>
      <c r="W4" s="157"/>
      <c r="X4" s="157"/>
    </row>
    <row r="5" spans="1:29" ht="21" customHeight="1">
      <c r="A5" s="94" t="s">
        <v>5</v>
      </c>
      <c r="B5" s="113">
        <f>SUM(B20,B23,B29)</f>
        <v>321</v>
      </c>
      <c r="C5" s="113">
        <f t="shared" ref="C5:H5" si="0">SUM(C20,C23,C29)</f>
        <v>515</v>
      </c>
      <c r="D5" s="113">
        <f t="shared" si="0"/>
        <v>539</v>
      </c>
      <c r="E5" s="113">
        <f t="shared" si="0"/>
        <v>623</v>
      </c>
      <c r="F5" s="113">
        <f t="shared" si="0"/>
        <v>519</v>
      </c>
      <c r="G5" s="113">
        <f t="shared" ref="G5" si="1">SUM(G20,G23,G29)</f>
        <v>2</v>
      </c>
      <c r="H5" s="113">
        <f t="shared" si="0"/>
        <v>0</v>
      </c>
      <c r="I5" s="113">
        <f>SUM(I20,I23,I29)</f>
        <v>2519</v>
      </c>
      <c r="J5" s="158"/>
      <c r="K5" s="158"/>
      <c r="L5" s="158"/>
      <c r="M5" s="158"/>
      <c r="N5" s="158"/>
      <c r="O5" s="158"/>
      <c r="P5" s="829"/>
      <c r="Q5" s="562" t="s">
        <v>203</v>
      </c>
      <c r="R5" s="564" t="s">
        <v>204</v>
      </c>
      <c r="S5" s="564" t="s">
        <v>205</v>
      </c>
      <c r="T5" s="564" t="s">
        <v>51</v>
      </c>
      <c r="U5" s="564" t="s">
        <v>134</v>
      </c>
      <c r="V5" s="832"/>
      <c r="W5" s="158"/>
      <c r="X5" s="158"/>
      <c r="AA5" s="117">
        <f>I5</f>
        <v>2519</v>
      </c>
    </row>
    <row r="6" spans="1:29" ht="21" customHeight="1">
      <c r="A6" s="432" t="s">
        <v>136</v>
      </c>
      <c r="B6" s="432">
        <v>27</v>
      </c>
      <c r="C6" s="455">
        <v>39</v>
      </c>
      <c r="D6" s="433">
        <v>52</v>
      </c>
      <c r="E6" s="434">
        <v>55</v>
      </c>
      <c r="F6" s="434">
        <v>54</v>
      </c>
      <c r="G6" s="434"/>
      <c r="H6" s="632"/>
      <c r="I6" s="434">
        <f>SUM(B6:H6)</f>
        <v>227</v>
      </c>
      <c r="J6" s="190"/>
      <c r="K6" s="190"/>
      <c r="L6" s="187">
        <f t="shared" ref="L6:L19" si="2">SUM(D6:H6)</f>
        <v>161</v>
      </c>
      <c r="M6" s="190"/>
      <c r="N6" s="190"/>
      <c r="O6" s="190">
        <f t="shared" ref="O6:O19" si="3">C6+D6+E6+F6+G6</f>
        <v>200</v>
      </c>
      <c r="P6" s="565" t="s">
        <v>200</v>
      </c>
      <c r="Q6" s="566"/>
      <c r="R6" s="566"/>
      <c r="S6" s="566">
        <f>I20</f>
        <v>2504</v>
      </c>
      <c r="T6" s="566"/>
      <c r="U6" s="566">
        <f>I29</f>
        <v>15</v>
      </c>
      <c r="V6" s="566">
        <f t="shared" ref="V6:V14" si="4">SUM(Q6:U6)</f>
        <v>2519</v>
      </c>
      <c r="W6" s="159"/>
      <c r="X6" s="159"/>
      <c r="Y6" s="169">
        <v>58</v>
      </c>
      <c r="Z6" s="117">
        <v>122</v>
      </c>
      <c r="AA6" s="117">
        <v>117</v>
      </c>
      <c r="AB6" s="117">
        <v>114</v>
      </c>
      <c r="AC6" s="117">
        <v>84</v>
      </c>
    </row>
    <row r="7" spans="1:29" ht="21" customHeight="1">
      <c r="A7" s="429" t="s">
        <v>6</v>
      </c>
      <c r="B7" s="429">
        <v>35</v>
      </c>
      <c r="C7" s="454">
        <v>45</v>
      </c>
      <c r="D7" s="430">
        <v>52</v>
      </c>
      <c r="E7" s="431">
        <v>48</v>
      </c>
      <c r="F7" s="431">
        <v>51</v>
      </c>
      <c r="G7" s="431"/>
      <c r="H7" s="631"/>
      <c r="I7" s="431">
        <f>SUM(B7:H7)</f>
        <v>231</v>
      </c>
      <c r="J7" s="190"/>
      <c r="K7" s="190"/>
      <c r="L7" s="187">
        <f t="shared" si="2"/>
        <v>151</v>
      </c>
      <c r="M7" s="190"/>
      <c r="N7" s="190"/>
      <c r="O7" s="190">
        <f t="shared" si="3"/>
        <v>196</v>
      </c>
      <c r="P7" s="565" t="s">
        <v>206</v>
      </c>
      <c r="Q7" s="566"/>
      <c r="R7" s="566">
        <f>I98</f>
        <v>2255</v>
      </c>
      <c r="S7" s="566"/>
      <c r="T7" s="566"/>
      <c r="U7" s="566"/>
      <c r="V7" s="566">
        <f t="shared" si="4"/>
        <v>2255</v>
      </c>
      <c r="W7" s="159"/>
      <c r="X7" s="159"/>
      <c r="Y7" s="169">
        <v>57</v>
      </c>
      <c r="Z7" s="117">
        <v>128</v>
      </c>
      <c r="AA7" s="117">
        <v>101</v>
      </c>
      <c r="AB7" s="117">
        <v>51</v>
      </c>
      <c r="AC7" s="117">
        <v>30</v>
      </c>
    </row>
    <row r="8" spans="1:29" ht="21" customHeight="1">
      <c r="A8" s="429" t="s">
        <v>7</v>
      </c>
      <c r="B8" s="429">
        <v>34</v>
      </c>
      <c r="C8" s="454">
        <v>49</v>
      </c>
      <c r="D8" s="430">
        <v>55</v>
      </c>
      <c r="E8" s="431">
        <v>59</v>
      </c>
      <c r="F8" s="431">
        <v>51</v>
      </c>
      <c r="G8" s="431"/>
      <c r="H8" s="631"/>
      <c r="I8" s="431">
        <f t="shared" ref="I8:I18" si="5">SUM(B8:H8)</f>
        <v>248</v>
      </c>
      <c r="J8" s="190"/>
      <c r="K8" s="190"/>
      <c r="L8" s="187">
        <f t="shared" si="2"/>
        <v>165</v>
      </c>
      <c r="M8" s="190"/>
      <c r="N8" s="190"/>
      <c r="O8" s="190">
        <f t="shared" si="3"/>
        <v>214</v>
      </c>
      <c r="P8" s="565" t="s">
        <v>197</v>
      </c>
      <c r="Q8" s="566">
        <f>I117</f>
        <v>0</v>
      </c>
      <c r="R8" s="566">
        <f>I112</f>
        <v>2741</v>
      </c>
      <c r="S8" s="566"/>
      <c r="T8" s="566">
        <f>I121</f>
        <v>0</v>
      </c>
      <c r="U8" s="566"/>
      <c r="V8" s="566">
        <f t="shared" si="4"/>
        <v>2741</v>
      </c>
      <c r="W8" s="159"/>
      <c r="X8" s="159"/>
      <c r="Y8" s="169">
        <v>58</v>
      </c>
      <c r="Z8" s="117">
        <v>116</v>
      </c>
      <c r="AA8" s="117">
        <v>111</v>
      </c>
      <c r="AB8" s="117">
        <v>99</v>
      </c>
      <c r="AC8" s="117">
        <v>41</v>
      </c>
    </row>
    <row r="9" spans="1:29" ht="21" customHeight="1">
      <c r="A9" s="429" t="s">
        <v>135</v>
      </c>
      <c r="B9" s="429">
        <v>34</v>
      </c>
      <c r="C9" s="454">
        <v>43</v>
      </c>
      <c r="D9" s="430">
        <v>54</v>
      </c>
      <c r="E9" s="431">
        <v>49</v>
      </c>
      <c r="F9" s="431">
        <v>38</v>
      </c>
      <c r="G9" s="431"/>
      <c r="H9" s="631"/>
      <c r="I9" s="431">
        <f t="shared" si="5"/>
        <v>218</v>
      </c>
      <c r="J9" s="190"/>
      <c r="K9" s="190"/>
      <c r="L9" s="187">
        <f t="shared" si="2"/>
        <v>141</v>
      </c>
      <c r="M9" s="190"/>
      <c r="N9" s="190"/>
      <c r="O9" s="190">
        <f t="shared" si="3"/>
        <v>184</v>
      </c>
      <c r="P9" s="567" t="s">
        <v>3</v>
      </c>
      <c r="Q9" s="567">
        <f>SUM(Q6:Q8)</f>
        <v>0</v>
      </c>
      <c r="R9" s="567">
        <f>SUM(R6:R8)</f>
        <v>4996</v>
      </c>
      <c r="S9" s="567">
        <f>SUM(S6:S8)</f>
        <v>2504</v>
      </c>
      <c r="T9" s="567">
        <f>SUM(T6:T8)</f>
        <v>0</v>
      </c>
      <c r="U9" s="567">
        <f>SUM(U6:U8)</f>
        <v>15</v>
      </c>
      <c r="V9" s="567">
        <f t="shared" si="4"/>
        <v>7515</v>
      </c>
      <c r="W9" s="159">
        <f>Q9+R9+S9</f>
        <v>7500</v>
      </c>
      <c r="X9" s="159"/>
      <c r="Y9" s="169">
        <v>52</v>
      </c>
      <c r="Z9" s="117">
        <v>123</v>
      </c>
      <c r="AA9" s="117">
        <v>94</v>
      </c>
      <c r="AB9" s="117">
        <v>98</v>
      </c>
      <c r="AC9" s="117">
        <v>82</v>
      </c>
    </row>
    <row r="10" spans="1:29" ht="21" customHeight="1">
      <c r="A10" s="429" t="s">
        <v>8</v>
      </c>
      <c r="B10" s="429">
        <v>36</v>
      </c>
      <c r="C10" s="454">
        <v>45</v>
      </c>
      <c r="D10" s="430">
        <v>51</v>
      </c>
      <c r="E10" s="431">
        <v>53</v>
      </c>
      <c r="F10" s="431">
        <v>46</v>
      </c>
      <c r="G10" s="431"/>
      <c r="H10" s="631"/>
      <c r="I10" s="431">
        <f t="shared" si="5"/>
        <v>231</v>
      </c>
      <c r="J10" s="190"/>
      <c r="K10" s="190"/>
      <c r="L10" s="187">
        <f t="shared" si="2"/>
        <v>150</v>
      </c>
      <c r="M10" s="190"/>
      <c r="N10" s="190"/>
      <c r="O10" s="190">
        <f t="shared" si="3"/>
        <v>195</v>
      </c>
      <c r="P10" s="565" t="s">
        <v>199</v>
      </c>
      <c r="Q10" s="566"/>
      <c r="R10" s="566">
        <f>I42</f>
        <v>1758</v>
      </c>
      <c r="S10" s="566"/>
      <c r="T10" s="566">
        <f>I46</f>
        <v>12</v>
      </c>
      <c r="U10" s="566">
        <f>I49</f>
        <v>8</v>
      </c>
      <c r="V10" s="566">
        <f t="shared" si="4"/>
        <v>1778</v>
      </c>
      <c r="W10" s="159"/>
      <c r="X10" s="159"/>
      <c r="Y10" s="169">
        <v>59</v>
      </c>
      <c r="Z10" s="117">
        <v>120</v>
      </c>
      <c r="AA10" s="117">
        <v>116</v>
      </c>
      <c r="AB10" s="117">
        <v>88</v>
      </c>
      <c r="AC10" s="117">
        <v>34</v>
      </c>
    </row>
    <row r="11" spans="1:29" ht="21" customHeight="1">
      <c r="A11" s="429" t="s">
        <v>9</v>
      </c>
      <c r="B11" s="429">
        <v>31</v>
      </c>
      <c r="C11" s="454">
        <v>44</v>
      </c>
      <c r="D11" s="430">
        <v>42</v>
      </c>
      <c r="E11" s="431">
        <v>42</v>
      </c>
      <c r="F11" s="431">
        <v>40</v>
      </c>
      <c r="G11" s="431"/>
      <c r="H11" s="631"/>
      <c r="I11" s="431">
        <f t="shared" si="5"/>
        <v>199</v>
      </c>
      <c r="J11" s="190"/>
      <c r="K11" s="190"/>
      <c r="L11" s="187">
        <f t="shared" si="2"/>
        <v>124</v>
      </c>
      <c r="M11" s="190"/>
      <c r="N11" s="190"/>
      <c r="O11" s="190">
        <f t="shared" si="3"/>
        <v>168</v>
      </c>
      <c r="P11" s="565" t="s">
        <v>17</v>
      </c>
      <c r="Q11" s="566"/>
      <c r="R11" s="566">
        <f>I74</f>
        <v>845</v>
      </c>
      <c r="S11" s="566"/>
      <c r="T11" s="566"/>
      <c r="U11" s="566"/>
      <c r="V11" s="566">
        <f t="shared" si="4"/>
        <v>845</v>
      </c>
      <c r="W11" s="159"/>
      <c r="X11" s="159"/>
      <c r="Y11" s="169">
        <v>51</v>
      </c>
      <c r="Z11" s="117">
        <v>116</v>
      </c>
      <c r="AA11" s="117">
        <v>102</v>
      </c>
      <c r="AB11" s="117">
        <v>65</v>
      </c>
      <c r="AC11" s="117">
        <v>54</v>
      </c>
    </row>
    <row r="12" spans="1:29" ht="21" customHeight="1">
      <c r="A12" s="534" t="s">
        <v>238</v>
      </c>
      <c r="B12" s="534">
        <v>30</v>
      </c>
      <c r="C12" s="635">
        <v>38</v>
      </c>
      <c r="D12" s="636">
        <v>45</v>
      </c>
      <c r="E12" s="637">
        <v>43</v>
      </c>
      <c r="F12" s="431">
        <v>52</v>
      </c>
      <c r="G12" s="252"/>
      <c r="H12" s="594"/>
      <c r="I12" s="252">
        <f>SUM(B12:H12)</f>
        <v>208</v>
      </c>
      <c r="J12" s="159"/>
      <c r="K12" s="159"/>
      <c r="L12" s="161">
        <f t="shared" si="2"/>
        <v>140</v>
      </c>
      <c r="M12" s="159"/>
      <c r="N12" s="159"/>
      <c r="O12" s="159">
        <f t="shared" si="3"/>
        <v>178</v>
      </c>
      <c r="P12" s="565" t="s">
        <v>198</v>
      </c>
      <c r="Q12" s="566">
        <f>I69</f>
        <v>65</v>
      </c>
      <c r="R12" s="566">
        <f>I63</f>
        <v>874</v>
      </c>
      <c r="S12" s="566"/>
      <c r="T12" s="566">
        <f>I73</f>
        <v>0</v>
      </c>
      <c r="U12" s="566"/>
      <c r="V12" s="566">
        <f t="shared" si="4"/>
        <v>939</v>
      </c>
      <c r="W12" s="159"/>
      <c r="X12" s="159"/>
      <c r="Y12" s="169">
        <v>57</v>
      </c>
      <c r="Z12" s="117">
        <v>43</v>
      </c>
      <c r="AA12" s="117"/>
      <c r="AB12" s="117">
        <v>18</v>
      </c>
      <c r="AC12" s="117">
        <v>1</v>
      </c>
    </row>
    <row r="13" spans="1:29" ht="21" customHeight="1">
      <c r="A13" s="429" t="s">
        <v>56</v>
      </c>
      <c r="B13" s="429">
        <v>30</v>
      </c>
      <c r="C13" s="454">
        <v>37</v>
      </c>
      <c r="D13" s="430">
        <v>47</v>
      </c>
      <c r="E13" s="431">
        <v>47</v>
      </c>
      <c r="F13" s="431">
        <v>41</v>
      </c>
      <c r="G13" s="431"/>
      <c r="H13" s="631"/>
      <c r="I13" s="431">
        <f t="shared" si="5"/>
        <v>202</v>
      </c>
      <c r="J13" s="190"/>
      <c r="K13" s="190"/>
      <c r="L13" s="187">
        <f t="shared" si="2"/>
        <v>135</v>
      </c>
      <c r="M13" s="190"/>
      <c r="N13" s="190"/>
      <c r="O13" s="190">
        <f t="shared" si="3"/>
        <v>172</v>
      </c>
      <c r="P13" s="568" t="s">
        <v>3</v>
      </c>
      <c r="Q13" s="567">
        <f>SUM(Q10:Q12)</f>
        <v>65</v>
      </c>
      <c r="R13" s="567">
        <f>SUM(R10:R12)</f>
        <v>3477</v>
      </c>
      <c r="S13" s="567">
        <f>SUM(S10:S12)</f>
        <v>0</v>
      </c>
      <c r="T13" s="567">
        <f>SUM(T10:T12)</f>
        <v>12</v>
      </c>
      <c r="U13" s="567">
        <f>SUM(U10:U12)</f>
        <v>8</v>
      </c>
      <c r="V13" s="566">
        <f t="shared" si="4"/>
        <v>3562</v>
      </c>
      <c r="W13" s="159">
        <f>Q13+R13</f>
        <v>3542</v>
      </c>
      <c r="X13" s="159"/>
      <c r="Y13" s="169">
        <v>54</v>
      </c>
      <c r="Z13" s="117">
        <v>105</v>
      </c>
      <c r="AA13" s="117">
        <v>108</v>
      </c>
      <c r="AB13" s="117">
        <v>100</v>
      </c>
      <c r="AC13" s="117">
        <v>64</v>
      </c>
    </row>
    <row r="14" spans="1:29" ht="21" customHeight="1">
      <c r="A14" s="429" t="s">
        <v>96</v>
      </c>
      <c r="B14" s="429">
        <v>33</v>
      </c>
      <c r="C14" s="454">
        <v>43</v>
      </c>
      <c r="D14" s="430">
        <v>50</v>
      </c>
      <c r="E14" s="431">
        <v>41</v>
      </c>
      <c r="F14" s="431">
        <v>39</v>
      </c>
      <c r="G14" s="431"/>
      <c r="H14" s="631"/>
      <c r="I14" s="431">
        <f t="shared" si="5"/>
        <v>206</v>
      </c>
      <c r="J14" s="190"/>
      <c r="K14" s="190"/>
      <c r="L14" s="187">
        <f t="shared" si="2"/>
        <v>130</v>
      </c>
      <c r="M14" s="190"/>
      <c r="N14" s="190"/>
      <c r="O14" s="190">
        <f t="shared" si="3"/>
        <v>173</v>
      </c>
      <c r="P14" s="568" t="s">
        <v>59</v>
      </c>
      <c r="Q14" s="567">
        <f>SUM(Q9,Q13)</f>
        <v>65</v>
      </c>
      <c r="R14" s="567">
        <f>SUM(R9,R13)</f>
        <v>8473</v>
      </c>
      <c r="S14" s="567">
        <f>SUM(S9,S13)</f>
        <v>2504</v>
      </c>
      <c r="T14" s="567">
        <f>SUM(T9,T13)</f>
        <v>12</v>
      </c>
      <c r="U14" s="567">
        <f>SUM(U9,U13)</f>
        <v>23</v>
      </c>
      <c r="V14" s="567">
        <f t="shared" si="4"/>
        <v>11077</v>
      </c>
      <c r="W14" s="159"/>
      <c r="X14" s="159"/>
      <c r="Y14" s="169">
        <v>45</v>
      </c>
      <c r="Z14" s="117">
        <v>58</v>
      </c>
      <c r="AA14" s="117">
        <v>110</v>
      </c>
      <c r="AB14" s="117"/>
      <c r="AC14" s="117"/>
    </row>
    <row r="15" spans="1:29" ht="21" customHeight="1">
      <c r="A15" s="429" t="s">
        <v>119</v>
      </c>
      <c r="B15" s="429"/>
      <c r="C15" s="454">
        <v>50</v>
      </c>
      <c r="D15" s="430">
        <v>44</v>
      </c>
      <c r="E15" s="431">
        <v>39</v>
      </c>
      <c r="F15" s="431">
        <v>42</v>
      </c>
      <c r="G15" s="431"/>
      <c r="H15" s="631"/>
      <c r="I15" s="431">
        <f t="shared" si="5"/>
        <v>175</v>
      </c>
      <c r="J15" s="190"/>
      <c r="K15" s="190"/>
      <c r="L15" s="187">
        <f t="shared" si="2"/>
        <v>125</v>
      </c>
      <c r="M15" s="190"/>
      <c r="N15" s="190"/>
      <c r="O15" s="190">
        <f t="shared" si="3"/>
        <v>175</v>
      </c>
      <c r="P15" s="569"/>
      <c r="Q15" s="843">
        <f>Q14+R14+S14</f>
        <v>11042</v>
      </c>
      <c r="R15" s="844"/>
      <c r="S15" s="845"/>
      <c r="T15" s="570"/>
      <c r="U15" s="570"/>
      <c r="V15" s="570"/>
      <c r="W15" s="159">
        <f>Q14+R14+S14</f>
        <v>11042</v>
      </c>
      <c r="X15" s="159"/>
      <c r="Y15" s="169">
        <v>48</v>
      </c>
      <c r="Z15" s="117">
        <v>99</v>
      </c>
      <c r="AA15" s="117"/>
      <c r="AB15" s="117"/>
      <c r="AC15" s="117"/>
    </row>
    <row r="16" spans="1:29" ht="21" customHeight="1">
      <c r="A16" s="429" t="s">
        <v>12</v>
      </c>
      <c r="B16" s="429"/>
      <c r="C16" s="454"/>
      <c r="D16" s="430"/>
      <c r="E16" s="431">
        <v>26</v>
      </c>
      <c r="F16" s="431"/>
      <c r="G16" s="431"/>
      <c r="H16" s="631"/>
      <c r="I16" s="431">
        <f t="shared" si="5"/>
        <v>26</v>
      </c>
      <c r="J16" s="190"/>
      <c r="K16" s="190"/>
      <c r="L16" s="187">
        <f t="shared" si="2"/>
        <v>26</v>
      </c>
      <c r="M16" s="190"/>
      <c r="N16" s="190"/>
      <c r="O16" s="190">
        <f t="shared" si="3"/>
        <v>26</v>
      </c>
      <c r="P16" s="800" t="s">
        <v>343</v>
      </c>
      <c r="Q16" s="846"/>
      <c r="R16" s="846"/>
      <c r="S16" s="846"/>
      <c r="T16" s="846"/>
      <c r="U16" s="846"/>
      <c r="V16" s="847"/>
      <c r="W16" s="159"/>
      <c r="X16" s="159"/>
      <c r="Y16" s="169"/>
      <c r="Z16" s="117">
        <v>50</v>
      </c>
      <c r="AA16" s="117"/>
      <c r="AB16" s="117"/>
      <c r="AC16" s="117"/>
    </row>
    <row r="17" spans="1:30" ht="21" customHeight="1">
      <c r="A17" s="429" t="s">
        <v>13</v>
      </c>
      <c r="B17" s="429"/>
      <c r="C17" s="454"/>
      <c r="D17" s="430"/>
      <c r="E17" s="431">
        <v>39</v>
      </c>
      <c r="F17" s="431"/>
      <c r="G17" s="431"/>
      <c r="H17" s="631"/>
      <c r="I17" s="431">
        <f t="shared" si="5"/>
        <v>39</v>
      </c>
      <c r="J17" s="190"/>
      <c r="K17" s="190"/>
      <c r="L17" s="187">
        <f t="shared" si="2"/>
        <v>39</v>
      </c>
      <c r="M17" s="190"/>
      <c r="N17" s="190"/>
      <c r="O17" s="190">
        <f t="shared" si="3"/>
        <v>39</v>
      </c>
      <c r="P17" s="790" t="s">
        <v>201</v>
      </c>
      <c r="Q17" s="792" t="s">
        <v>202</v>
      </c>
      <c r="R17" s="792"/>
      <c r="S17" s="792"/>
      <c r="T17" s="792"/>
      <c r="U17" s="792"/>
      <c r="V17" s="785" t="s">
        <v>3</v>
      </c>
      <c r="W17" s="159"/>
      <c r="X17" s="159"/>
      <c r="Y17" s="169"/>
      <c r="Z17" s="117">
        <v>47</v>
      </c>
      <c r="AA17" s="117"/>
      <c r="AB17" s="117"/>
      <c r="AC17" s="117"/>
    </row>
    <row r="18" spans="1:30" ht="21" customHeight="1">
      <c r="A18" s="429" t="s">
        <v>165</v>
      </c>
      <c r="B18" s="429"/>
      <c r="C18" s="454">
        <v>40</v>
      </c>
      <c r="D18" s="430">
        <v>42</v>
      </c>
      <c r="E18" s="431">
        <v>42</v>
      </c>
      <c r="F18" s="431">
        <v>31</v>
      </c>
      <c r="G18" s="431"/>
      <c r="H18" s="631"/>
      <c r="I18" s="431">
        <f t="shared" si="5"/>
        <v>155</v>
      </c>
      <c r="J18" s="190"/>
      <c r="K18" s="190"/>
      <c r="L18" s="187">
        <f t="shared" si="2"/>
        <v>115</v>
      </c>
      <c r="M18" s="190"/>
      <c r="N18" s="190"/>
      <c r="O18" s="190">
        <f t="shared" si="3"/>
        <v>155</v>
      </c>
      <c r="P18" s="791"/>
      <c r="Q18" s="172" t="s">
        <v>203</v>
      </c>
      <c r="R18" s="525" t="s">
        <v>204</v>
      </c>
      <c r="S18" s="525" t="s">
        <v>205</v>
      </c>
      <c r="T18" s="525" t="s">
        <v>51</v>
      </c>
      <c r="U18" s="525" t="s">
        <v>134</v>
      </c>
      <c r="V18" s="786"/>
      <c r="W18" s="159"/>
      <c r="X18" s="159"/>
      <c r="Y18" s="169">
        <v>39</v>
      </c>
      <c r="Z18" s="117">
        <v>88</v>
      </c>
      <c r="AA18" s="117"/>
      <c r="AB18" s="117"/>
      <c r="AC18" s="117"/>
    </row>
    <row r="19" spans="1:30" ht="21" customHeight="1">
      <c r="A19" s="472" t="s">
        <v>164</v>
      </c>
      <c r="B19" s="435">
        <v>26</v>
      </c>
      <c r="C19" s="633">
        <v>42</v>
      </c>
      <c r="D19" s="436"/>
      <c r="E19" s="437">
        <v>40</v>
      </c>
      <c r="F19" s="437">
        <v>31</v>
      </c>
      <c r="G19" s="437"/>
      <c r="H19" s="634"/>
      <c r="I19" s="437">
        <f>SUM(B19:H19)</f>
        <v>139</v>
      </c>
      <c r="J19" s="190"/>
      <c r="K19" s="190"/>
      <c r="L19" s="187">
        <f t="shared" si="2"/>
        <v>71</v>
      </c>
      <c r="M19" s="190"/>
      <c r="N19" s="190"/>
      <c r="O19" s="190">
        <f t="shared" si="3"/>
        <v>113</v>
      </c>
      <c r="P19" s="173" t="s">
        <v>200</v>
      </c>
      <c r="Q19" s="174"/>
      <c r="R19" s="174"/>
      <c r="S19" s="174">
        <f>B20</f>
        <v>316</v>
      </c>
      <c r="T19" s="174"/>
      <c r="U19" s="174">
        <f>B29</f>
        <v>5</v>
      </c>
      <c r="V19" s="174">
        <f t="shared" ref="V19:V29" si="6">SUM(Q19:U19)</f>
        <v>321</v>
      </c>
      <c r="W19" s="159"/>
      <c r="X19" s="159"/>
      <c r="Y19" s="169">
        <v>34</v>
      </c>
      <c r="Z19" s="117"/>
      <c r="AA19" s="117"/>
      <c r="AB19" s="117"/>
      <c r="AC19" s="117"/>
    </row>
    <row r="20" spans="1:30" ht="21" customHeight="1">
      <c r="A20" s="557" t="s">
        <v>3</v>
      </c>
      <c r="B20" s="106">
        <f>SUM(B6:B19)</f>
        <v>316</v>
      </c>
      <c r="C20" s="106">
        <f>SUM(C6:C19)</f>
        <v>515</v>
      </c>
      <c r="D20" s="106">
        <f t="shared" ref="D20:H20" si="7">SUM(D6:D19)</f>
        <v>534</v>
      </c>
      <c r="E20" s="106">
        <f t="shared" si="7"/>
        <v>623</v>
      </c>
      <c r="F20" s="106">
        <f t="shared" si="7"/>
        <v>516</v>
      </c>
      <c r="G20" s="106">
        <f t="shared" ref="G20" si="8">SUM(G6:G19)</f>
        <v>0</v>
      </c>
      <c r="H20" s="106">
        <f t="shared" si="7"/>
        <v>0</v>
      </c>
      <c r="I20" s="106">
        <f>SUM(I6:I19)</f>
        <v>2504</v>
      </c>
      <c r="J20" s="160"/>
      <c r="K20" s="160"/>
      <c r="L20" s="160"/>
      <c r="M20" s="160">
        <f>615+836+1173+526+696</f>
        <v>3846</v>
      </c>
      <c r="N20" s="160">
        <f>1+6+17+43</f>
        <v>67</v>
      </c>
      <c r="O20" s="160"/>
      <c r="P20" s="173" t="s">
        <v>206</v>
      </c>
      <c r="Q20" s="174"/>
      <c r="R20" s="174">
        <f>B98</f>
        <v>724</v>
      </c>
      <c r="S20" s="174"/>
      <c r="T20" s="174"/>
      <c r="U20" s="174"/>
      <c r="V20" s="174">
        <f t="shared" si="6"/>
        <v>724</v>
      </c>
      <c r="W20" s="160"/>
      <c r="X20" s="160"/>
      <c r="Y20" s="255">
        <f>SUM(Y6:Y19)</f>
        <v>612</v>
      </c>
      <c r="Z20" s="117">
        <f>SUM(Z6:Z19)</f>
        <v>1215</v>
      </c>
      <c r="AA20" s="117">
        <f>SUM(AA6:AA19)</f>
        <v>859</v>
      </c>
      <c r="AB20" s="127">
        <f>SUM(AB6:AB19)</f>
        <v>633</v>
      </c>
      <c r="AC20" s="117">
        <f>SUM(AC6:AC19)</f>
        <v>390</v>
      </c>
      <c r="AD20" s="169"/>
    </row>
    <row r="21" spans="1:30" ht="21" hidden="1" customHeight="1">
      <c r="A21" s="96" t="s">
        <v>48</v>
      </c>
      <c r="B21" s="96"/>
      <c r="C21" s="96"/>
      <c r="D21" s="122"/>
      <c r="E21" s="107"/>
      <c r="F21" s="107"/>
      <c r="G21" s="107"/>
      <c r="H21" s="107"/>
      <c r="I21" s="107"/>
      <c r="J21" s="159"/>
      <c r="K21" s="159"/>
      <c r="L21" s="159"/>
      <c r="M21" s="159"/>
      <c r="N21" s="159"/>
      <c r="O21" s="159"/>
      <c r="P21" s="173" t="s">
        <v>206</v>
      </c>
      <c r="Q21" s="174"/>
      <c r="R21" s="174"/>
      <c r="S21" s="174"/>
      <c r="T21" s="174"/>
      <c r="U21" s="174"/>
      <c r="V21" s="174">
        <f t="shared" si="6"/>
        <v>0</v>
      </c>
      <c r="W21" s="159"/>
      <c r="X21" s="159"/>
    </row>
    <row r="22" spans="1:30" ht="21" hidden="1" customHeight="1">
      <c r="A22" s="96" t="s">
        <v>71</v>
      </c>
      <c r="B22" s="96"/>
      <c r="C22" s="96"/>
      <c r="D22" s="122"/>
      <c r="E22" s="107"/>
      <c r="F22" s="107"/>
      <c r="G22" s="107"/>
      <c r="H22" s="107"/>
      <c r="I22" s="107"/>
      <c r="J22" s="159"/>
      <c r="K22" s="159"/>
      <c r="L22" s="159"/>
      <c r="M22" s="159"/>
      <c r="N22" s="159"/>
      <c r="O22" s="159"/>
      <c r="P22" s="173" t="s">
        <v>200</v>
      </c>
      <c r="Q22" s="174"/>
      <c r="R22" s="174"/>
      <c r="S22" s="174"/>
      <c r="T22" s="174"/>
      <c r="U22" s="174"/>
      <c r="V22" s="174">
        <f t="shared" si="6"/>
        <v>0</v>
      </c>
      <c r="W22" s="159"/>
      <c r="X22" s="159"/>
    </row>
    <row r="23" spans="1:30" ht="21" hidden="1" customHeight="1">
      <c r="A23" s="95" t="s">
        <v>3</v>
      </c>
      <c r="B23" s="95"/>
      <c r="C23" s="95"/>
      <c r="D23" s="121"/>
      <c r="E23" s="106">
        <f>SUM(E22)</f>
        <v>0</v>
      </c>
      <c r="F23" s="106">
        <f>SUM(F22)</f>
        <v>0</v>
      </c>
      <c r="G23" s="106">
        <f>SUM(G22)</f>
        <v>0</v>
      </c>
      <c r="H23" s="106">
        <f>SUM(H22)</f>
        <v>0</v>
      </c>
      <c r="I23" s="106">
        <f>SUM(I22)</f>
        <v>0</v>
      </c>
      <c r="J23" s="160"/>
      <c r="K23" s="160"/>
      <c r="L23" s="160"/>
      <c r="M23" s="160"/>
      <c r="N23" s="160"/>
      <c r="O23" s="160"/>
      <c r="P23" s="173" t="s">
        <v>206</v>
      </c>
      <c r="Q23" s="174"/>
      <c r="R23" s="174"/>
      <c r="S23" s="174"/>
      <c r="T23" s="174"/>
      <c r="U23" s="174"/>
      <c r="V23" s="174">
        <f t="shared" si="6"/>
        <v>0</v>
      </c>
      <c r="W23" s="160"/>
      <c r="X23" s="160"/>
    </row>
    <row r="24" spans="1:30" ht="21" customHeight="1">
      <c r="A24" s="97" t="s">
        <v>49</v>
      </c>
      <c r="B24" s="97"/>
      <c r="C24" s="549"/>
      <c r="D24" s="550"/>
      <c r="E24" s="551"/>
      <c r="F24" s="551"/>
      <c r="G24" s="551"/>
      <c r="H24" s="551"/>
      <c r="I24" s="107"/>
      <c r="J24" s="159"/>
      <c r="K24" s="159"/>
      <c r="L24" s="159"/>
      <c r="M24" s="159"/>
      <c r="N24" s="159"/>
      <c r="O24" s="159"/>
      <c r="P24" s="173" t="s">
        <v>197</v>
      </c>
      <c r="Q24" s="174">
        <f>B117</f>
        <v>0</v>
      </c>
      <c r="R24" s="174">
        <f>B112</f>
        <v>905</v>
      </c>
      <c r="S24" s="174"/>
      <c r="T24" s="174"/>
      <c r="U24" s="174"/>
      <c r="V24" s="174">
        <f t="shared" si="6"/>
        <v>905</v>
      </c>
      <c r="W24" s="159"/>
      <c r="X24" s="159"/>
    </row>
    <row r="25" spans="1:30" ht="21" customHeight="1">
      <c r="A25" s="522" t="s">
        <v>82</v>
      </c>
      <c r="B25" s="96"/>
      <c r="C25" s="96"/>
      <c r="D25" s="122"/>
      <c r="E25" s="107"/>
      <c r="F25" s="107"/>
      <c r="G25" s="107">
        <v>2</v>
      </c>
      <c r="H25" s="107"/>
      <c r="I25" s="252">
        <f t="shared" ref="I25:I27" si="9">SUM(B25:H25)</f>
        <v>2</v>
      </c>
      <c r="J25" s="159"/>
      <c r="K25" s="159"/>
      <c r="L25" s="159"/>
      <c r="M25" s="159"/>
      <c r="N25" s="159"/>
      <c r="O25" s="159"/>
      <c r="P25" s="106" t="s">
        <v>3</v>
      </c>
      <c r="Q25" s="106">
        <f t="shared" ref="Q25:U26" si="10">SUM(Q19:Q24)</f>
        <v>0</v>
      </c>
      <c r="R25" s="106">
        <f t="shared" si="10"/>
        <v>1629</v>
      </c>
      <c r="S25" s="106">
        <f t="shared" si="10"/>
        <v>316</v>
      </c>
      <c r="T25" s="106">
        <f t="shared" si="10"/>
        <v>0</v>
      </c>
      <c r="U25" s="106">
        <f t="shared" si="10"/>
        <v>5</v>
      </c>
      <c r="V25" s="106">
        <f t="shared" si="6"/>
        <v>1950</v>
      </c>
      <c r="W25" s="159"/>
      <c r="X25" s="159"/>
      <c r="Y25" s="169"/>
      <c r="Z25" s="117">
        <v>6</v>
      </c>
      <c r="AA25" s="117"/>
      <c r="AB25" s="117"/>
      <c r="AC25" s="117">
        <f>SUM(Y25:AB25)</f>
        <v>6</v>
      </c>
      <c r="AD25" s="169"/>
    </row>
    <row r="26" spans="1:30" ht="21" customHeight="1">
      <c r="A26" s="522" t="s">
        <v>282</v>
      </c>
      <c r="B26" s="96">
        <v>5</v>
      </c>
      <c r="C26" s="96"/>
      <c r="D26" s="122">
        <v>5</v>
      </c>
      <c r="E26" s="107"/>
      <c r="F26" s="107"/>
      <c r="G26" s="107"/>
      <c r="H26" s="107"/>
      <c r="I26" s="252">
        <f t="shared" si="9"/>
        <v>10</v>
      </c>
      <c r="J26" s="159"/>
      <c r="K26" s="159"/>
      <c r="L26" s="159"/>
      <c r="M26" s="159"/>
      <c r="N26" s="159"/>
      <c r="O26" s="159"/>
      <c r="P26" s="106" t="s">
        <v>3</v>
      </c>
      <c r="Q26" s="106">
        <f t="shared" si="10"/>
        <v>0</v>
      </c>
      <c r="R26" s="106">
        <f t="shared" si="10"/>
        <v>3258</v>
      </c>
      <c r="S26" s="106">
        <f t="shared" si="10"/>
        <v>316</v>
      </c>
      <c r="T26" s="106">
        <f t="shared" si="10"/>
        <v>0</v>
      </c>
      <c r="U26" s="106">
        <f t="shared" si="10"/>
        <v>5</v>
      </c>
      <c r="V26" s="106">
        <f t="shared" ref="V26" si="11">SUM(Q26:U26)</f>
        <v>3579</v>
      </c>
      <c r="W26" s="159"/>
      <c r="X26" s="159"/>
      <c r="Y26" s="169"/>
      <c r="Z26" s="117">
        <v>6</v>
      </c>
      <c r="AA26" s="117"/>
      <c r="AB26" s="117"/>
      <c r="AC26" s="117">
        <f>SUM(Y26:AB26)</f>
        <v>6</v>
      </c>
      <c r="AD26" s="169"/>
    </row>
    <row r="27" spans="1:30" ht="21" customHeight="1">
      <c r="A27" s="522" t="s">
        <v>97</v>
      </c>
      <c r="B27" s="96"/>
      <c r="C27" s="96"/>
      <c r="D27" s="122"/>
      <c r="E27" s="107"/>
      <c r="F27" s="107">
        <v>3</v>
      </c>
      <c r="G27" s="107"/>
      <c r="H27" s="107"/>
      <c r="I27" s="252">
        <f t="shared" si="9"/>
        <v>3</v>
      </c>
      <c r="J27" s="159"/>
      <c r="K27" s="159"/>
      <c r="L27" s="159"/>
      <c r="M27" s="159"/>
      <c r="N27" s="159"/>
      <c r="O27" s="159"/>
      <c r="P27" s="173" t="s">
        <v>199</v>
      </c>
      <c r="Q27" s="174"/>
      <c r="R27" s="174">
        <f>B42</f>
        <v>571</v>
      </c>
      <c r="S27" s="174"/>
      <c r="T27" s="174">
        <f>B46</f>
        <v>1</v>
      </c>
      <c r="U27" s="174">
        <f>B49</f>
        <v>1</v>
      </c>
      <c r="V27" s="174">
        <f t="shared" si="6"/>
        <v>573</v>
      </c>
      <c r="W27" s="159"/>
      <c r="X27" s="159"/>
      <c r="Y27" s="169">
        <v>6</v>
      </c>
      <c r="Z27" s="117"/>
      <c r="AA27" s="117">
        <v>19</v>
      </c>
      <c r="AB27" s="117"/>
      <c r="AC27" s="117">
        <f>SUM(Y27:AB27)</f>
        <v>25</v>
      </c>
      <c r="AD27" s="169"/>
    </row>
    <row r="28" spans="1:30" ht="21" customHeight="1">
      <c r="A28" s="522" t="s">
        <v>98</v>
      </c>
      <c r="B28" s="96"/>
      <c r="C28" s="96"/>
      <c r="D28" s="122"/>
      <c r="E28" s="107"/>
      <c r="F28" s="107"/>
      <c r="G28" s="107"/>
      <c r="H28" s="107"/>
      <c r="I28" s="254">
        <f>SUM(B28:H28)</f>
        <v>0</v>
      </c>
      <c r="J28" s="159"/>
      <c r="K28" s="159"/>
      <c r="L28" s="159"/>
      <c r="M28" s="159"/>
      <c r="N28" s="159"/>
      <c r="O28" s="159"/>
      <c r="P28" s="173" t="s">
        <v>17</v>
      </c>
      <c r="Q28" s="174"/>
      <c r="R28" s="174">
        <f>B74</f>
        <v>292</v>
      </c>
      <c r="S28" s="174"/>
      <c r="T28" s="174"/>
      <c r="U28" s="174"/>
      <c r="V28" s="174">
        <f t="shared" si="6"/>
        <v>292</v>
      </c>
      <c r="W28" s="159"/>
      <c r="X28" s="159"/>
      <c r="Y28" s="169"/>
      <c r="Z28" s="117"/>
      <c r="AA28" s="117">
        <v>9</v>
      </c>
      <c r="AB28" s="117"/>
      <c r="AC28" s="117">
        <f>SUM(Y28:AB28)</f>
        <v>9</v>
      </c>
      <c r="AD28" s="169"/>
    </row>
    <row r="29" spans="1:30" ht="21" customHeight="1">
      <c r="A29" s="95" t="s">
        <v>3</v>
      </c>
      <c r="B29" s="106">
        <f t="shared" ref="B29" si="12">SUM(B25:B28)</f>
        <v>5</v>
      </c>
      <c r="C29" s="106">
        <f t="shared" ref="C29:H29" si="13">SUM(C25:C28)</f>
        <v>0</v>
      </c>
      <c r="D29" s="106">
        <f t="shared" si="13"/>
        <v>5</v>
      </c>
      <c r="E29" s="106">
        <f t="shared" si="13"/>
        <v>0</v>
      </c>
      <c r="F29" s="106">
        <f t="shared" si="13"/>
        <v>3</v>
      </c>
      <c r="G29" s="106">
        <f t="shared" ref="G29" si="14">SUM(G25:G28)</f>
        <v>2</v>
      </c>
      <c r="H29" s="106">
        <f t="shared" si="13"/>
        <v>0</v>
      </c>
      <c r="I29" s="106">
        <f>SUM(I25:I28)</f>
        <v>15</v>
      </c>
      <c r="J29" s="160"/>
      <c r="K29" s="160"/>
      <c r="L29" s="160"/>
      <c r="M29" s="160"/>
      <c r="N29" s="160"/>
      <c r="O29" s="160"/>
      <c r="P29" s="173" t="s">
        <v>198</v>
      </c>
      <c r="Q29" s="174">
        <f>B69</f>
        <v>0</v>
      </c>
      <c r="R29" s="174">
        <f>B63</f>
        <v>272</v>
      </c>
      <c r="S29" s="174"/>
      <c r="T29" s="174"/>
      <c r="U29" s="174"/>
      <c r="V29" s="174">
        <f t="shared" si="6"/>
        <v>272</v>
      </c>
      <c r="W29" s="160"/>
      <c r="X29" s="160"/>
      <c r="Y29" s="169">
        <f>SUM(Y25:Y28)</f>
        <v>6</v>
      </c>
      <c r="Z29" s="117">
        <f>SUM(Z25:Z28)</f>
        <v>12</v>
      </c>
      <c r="AA29" s="117">
        <f>SUM(AA25:AA28)</f>
        <v>28</v>
      </c>
      <c r="AC29" s="169">
        <f>SUM(Y29:AB29)</f>
        <v>46</v>
      </c>
      <c r="AD29" s="169"/>
    </row>
    <row r="30" spans="1:30" ht="21" customHeight="1">
      <c r="A30" s="98" t="s">
        <v>11</v>
      </c>
      <c r="B30" s="106">
        <f t="shared" ref="B30:I30" si="15">SUM(B42,B49,B46)</f>
        <v>573</v>
      </c>
      <c r="C30" s="106">
        <f t="shared" si="15"/>
        <v>376</v>
      </c>
      <c r="D30" s="106">
        <f t="shared" si="15"/>
        <v>418</v>
      </c>
      <c r="E30" s="106">
        <f t="shared" si="15"/>
        <v>360</v>
      </c>
      <c r="F30" s="106">
        <f t="shared" si="15"/>
        <v>49</v>
      </c>
      <c r="G30" s="106">
        <f t="shared" si="15"/>
        <v>2</v>
      </c>
      <c r="H30" s="106">
        <f t="shared" si="15"/>
        <v>0</v>
      </c>
      <c r="I30" s="106">
        <f t="shared" si="15"/>
        <v>1778</v>
      </c>
      <c r="J30" s="160">
        <f>1708-20</f>
        <v>1688</v>
      </c>
      <c r="K30" s="160"/>
      <c r="L30" s="160"/>
      <c r="M30" s="160"/>
      <c r="N30" s="160"/>
      <c r="O30" s="160"/>
      <c r="P30" s="182" t="s">
        <v>3</v>
      </c>
      <c r="Q30" s="106">
        <f t="shared" ref="Q30:V30" si="16">SUM(Q27:Q29)</f>
        <v>0</v>
      </c>
      <c r="R30" s="106">
        <f t="shared" si="16"/>
        <v>1135</v>
      </c>
      <c r="S30" s="106">
        <f t="shared" si="16"/>
        <v>0</v>
      </c>
      <c r="T30" s="106">
        <f t="shared" si="16"/>
        <v>1</v>
      </c>
      <c r="U30" s="106">
        <f t="shared" si="16"/>
        <v>1</v>
      </c>
      <c r="V30" s="106">
        <f t="shared" si="16"/>
        <v>1137</v>
      </c>
      <c r="W30" s="160"/>
      <c r="X30" s="160"/>
      <c r="AA30" s="117">
        <f>I30</f>
        <v>1778</v>
      </c>
      <c r="AB30" s="117">
        <f>I50</f>
        <v>939</v>
      </c>
      <c r="AC30" s="117">
        <f>I74</f>
        <v>845</v>
      </c>
      <c r="AD30" s="117"/>
    </row>
    <row r="31" spans="1:30" ht="21" customHeight="1">
      <c r="A31" s="426" t="s">
        <v>138</v>
      </c>
      <c r="B31" s="426">
        <v>95</v>
      </c>
      <c r="C31" s="460">
        <v>55</v>
      </c>
      <c r="D31" s="427">
        <v>76</v>
      </c>
      <c r="E31" s="428">
        <v>60</v>
      </c>
      <c r="F31" s="428">
        <v>7</v>
      </c>
      <c r="G31" s="428"/>
      <c r="H31" s="428"/>
      <c r="I31" s="434">
        <f>SUM(B31:H31)</f>
        <v>293</v>
      </c>
      <c r="J31" s="187"/>
      <c r="K31" s="187">
        <v>1</v>
      </c>
      <c r="L31" s="187">
        <f t="shared" ref="L31:L41" si="17">SUM(D31:H31)</f>
        <v>143</v>
      </c>
      <c r="M31" s="187"/>
      <c r="N31" s="187"/>
      <c r="O31" s="187">
        <f t="shared" ref="O31:O36" si="18">C31+D31+E31+F31+G31</f>
        <v>198</v>
      </c>
      <c r="P31" s="182" t="s">
        <v>59</v>
      </c>
      <c r="Q31" s="106">
        <f t="shared" ref="Q31:V31" si="19">SUM(Q25,Q30)</f>
        <v>0</v>
      </c>
      <c r="R31" s="106">
        <f t="shared" si="19"/>
        <v>2764</v>
      </c>
      <c r="S31" s="106">
        <f t="shared" si="19"/>
        <v>316</v>
      </c>
      <c r="T31" s="106">
        <f t="shared" si="19"/>
        <v>1</v>
      </c>
      <c r="U31" s="106">
        <f t="shared" si="19"/>
        <v>6</v>
      </c>
      <c r="V31" s="106">
        <f t="shared" si="19"/>
        <v>3087</v>
      </c>
      <c r="W31" s="161"/>
      <c r="X31" s="161"/>
      <c r="Y31" s="169">
        <v>93</v>
      </c>
      <c r="Z31" s="117">
        <v>69</v>
      </c>
      <c r="AA31" s="117">
        <v>72</v>
      </c>
      <c r="AB31" s="117">
        <v>70</v>
      </c>
      <c r="AC31" s="117">
        <v>51</v>
      </c>
    </row>
    <row r="32" spans="1:30" ht="21" customHeight="1">
      <c r="A32" s="422" t="s">
        <v>91</v>
      </c>
      <c r="B32" s="422">
        <v>100</v>
      </c>
      <c r="C32" s="456">
        <v>72</v>
      </c>
      <c r="D32" s="423">
        <v>67</v>
      </c>
      <c r="E32" s="424">
        <v>70</v>
      </c>
      <c r="F32" s="424">
        <v>8</v>
      </c>
      <c r="G32" s="424"/>
      <c r="H32" s="424"/>
      <c r="I32" s="431">
        <f t="shared" ref="I32:I40" si="20">SUM(B32:H32)</f>
        <v>317</v>
      </c>
      <c r="J32" s="187"/>
      <c r="K32" s="187">
        <v>2</v>
      </c>
      <c r="L32" s="187">
        <f t="shared" si="17"/>
        <v>145</v>
      </c>
      <c r="M32" s="187"/>
      <c r="N32" s="187"/>
      <c r="O32" s="187">
        <f t="shared" si="18"/>
        <v>217</v>
      </c>
      <c r="P32" s="175"/>
      <c r="Q32" s="834">
        <f>Q31+R31+S31</f>
        <v>3080</v>
      </c>
      <c r="R32" s="835"/>
      <c r="S32" s="836"/>
      <c r="T32" s="159"/>
      <c r="U32" s="159"/>
      <c r="V32" s="159"/>
      <c r="W32" s="161"/>
      <c r="X32" s="161"/>
      <c r="Y32" s="169">
        <v>88</v>
      </c>
      <c r="Z32" s="117">
        <v>69</v>
      </c>
      <c r="AA32" s="117">
        <v>61</v>
      </c>
      <c r="AB32" s="117">
        <v>37</v>
      </c>
      <c r="AC32" s="117">
        <v>24</v>
      </c>
    </row>
    <row r="33" spans="1:31" ht="21" customHeight="1">
      <c r="A33" s="422" t="s">
        <v>77</v>
      </c>
      <c r="B33" s="100"/>
      <c r="C33" s="386"/>
      <c r="D33" s="256"/>
      <c r="E33" s="108"/>
      <c r="F33" s="108"/>
      <c r="G33" s="108"/>
      <c r="H33" s="108"/>
      <c r="I33" s="252">
        <f t="shared" si="20"/>
        <v>0</v>
      </c>
      <c r="J33" s="187"/>
      <c r="K33" s="187">
        <v>3</v>
      </c>
      <c r="L33" s="187">
        <f t="shared" si="17"/>
        <v>0</v>
      </c>
      <c r="M33" s="187"/>
      <c r="N33" s="187"/>
      <c r="O33" s="187">
        <f t="shared" si="18"/>
        <v>0</v>
      </c>
      <c r="P33" s="175"/>
      <c r="Q33" s="839" t="s">
        <v>351</v>
      </c>
      <c r="R33" s="840"/>
      <c r="S33" s="841"/>
      <c r="T33" s="159"/>
      <c r="U33" s="159"/>
      <c r="V33" s="159"/>
      <c r="W33" s="161"/>
      <c r="X33" s="161"/>
      <c r="Y33" s="169"/>
      <c r="Z33" s="117">
        <v>42</v>
      </c>
      <c r="AA33" s="117">
        <v>61</v>
      </c>
      <c r="AB33" s="117">
        <v>31</v>
      </c>
      <c r="AC33" s="117">
        <v>6</v>
      </c>
    </row>
    <row r="34" spans="1:31" ht="21" customHeight="1">
      <c r="A34" s="422" t="s">
        <v>9</v>
      </c>
      <c r="B34" s="422">
        <v>38</v>
      </c>
      <c r="C34" s="456">
        <v>28</v>
      </c>
      <c r="D34" s="423">
        <v>32</v>
      </c>
      <c r="E34" s="424">
        <v>35</v>
      </c>
      <c r="F34" s="424">
        <v>8</v>
      </c>
      <c r="G34" s="424"/>
      <c r="H34" s="424"/>
      <c r="I34" s="431">
        <f t="shared" si="20"/>
        <v>141</v>
      </c>
      <c r="J34" s="187"/>
      <c r="K34" s="187">
        <v>4</v>
      </c>
      <c r="L34" s="187">
        <f t="shared" si="17"/>
        <v>75</v>
      </c>
      <c r="M34" s="187"/>
      <c r="N34" s="187"/>
      <c r="O34" s="187">
        <f t="shared" si="18"/>
        <v>103</v>
      </c>
      <c r="P34" s="177"/>
      <c r="Q34" s="161"/>
      <c r="R34" s="161"/>
      <c r="S34" s="161"/>
      <c r="T34" s="161"/>
      <c r="U34" s="161"/>
      <c r="V34" s="161"/>
      <c r="W34" s="161"/>
      <c r="X34" s="161"/>
      <c r="Y34" s="169">
        <v>36</v>
      </c>
      <c r="Z34" s="117"/>
      <c r="AA34" s="117"/>
      <c r="AB34" s="117"/>
      <c r="AC34" s="117">
        <v>1</v>
      </c>
    </row>
    <row r="35" spans="1:31" ht="21" customHeight="1">
      <c r="A35" s="422" t="s">
        <v>12</v>
      </c>
      <c r="B35" s="422">
        <v>59</v>
      </c>
      <c r="C35" s="456">
        <v>24</v>
      </c>
      <c r="D35" s="423">
        <v>49</v>
      </c>
      <c r="E35" s="424">
        <v>21</v>
      </c>
      <c r="F35" s="424">
        <v>12</v>
      </c>
      <c r="G35" s="424"/>
      <c r="H35" s="424"/>
      <c r="I35" s="431">
        <f t="shared" si="20"/>
        <v>165</v>
      </c>
      <c r="J35" s="187"/>
      <c r="K35" s="187">
        <v>5</v>
      </c>
      <c r="L35" s="187">
        <f t="shared" si="17"/>
        <v>82</v>
      </c>
      <c r="M35" s="187"/>
      <c r="N35" s="187"/>
      <c r="O35" s="187">
        <f t="shared" si="18"/>
        <v>106</v>
      </c>
      <c r="P35" s="177"/>
      <c r="Q35" s="161"/>
      <c r="R35" s="161"/>
      <c r="S35" s="161"/>
      <c r="T35" s="161"/>
      <c r="U35" s="161"/>
      <c r="V35" s="161"/>
      <c r="W35" s="161"/>
      <c r="X35" s="161"/>
      <c r="Y35" s="169">
        <v>27</v>
      </c>
      <c r="Z35" s="117">
        <v>23</v>
      </c>
      <c r="AA35" s="117">
        <v>45</v>
      </c>
      <c r="AB35" s="117">
        <v>38</v>
      </c>
      <c r="AC35" s="117">
        <v>10</v>
      </c>
    </row>
    <row r="36" spans="1:31" ht="21" customHeight="1">
      <c r="A36" s="422" t="s">
        <v>13</v>
      </c>
      <c r="B36" s="422">
        <v>59</v>
      </c>
      <c r="C36" s="456">
        <v>20</v>
      </c>
      <c r="D36" s="423">
        <v>31</v>
      </c>
      <c r="E36" s="424">
        <v>25</v>
      </c>
      <c r="F36" s="424"/>
      <c r="G36" s="424"/>
      <c r="H36" s="424"/>
      <c r="I36" s="431">
        <f t="shared" si="20"/>
        <v>135</v>
      </c>
      <c r="J36" s="187"/>
      <c r="K36" s="187">
        <v>6</v>
      </c>
      <c r="L36" s="187">
        <f t="shared" si="17"/>
        <v>56</v>
      </c>
      <c r="M36" s="187"/>
      <c r="N36" s="187"/>
      <c r="O36" s="187">
        <f t="shared" si="18"/>
        <v>76</v>
      </c>
      <c r="P36" s="177"/>
      <c r="Q36" s="161"/>
      <c r="R36" s="161"/>
      <c r="S36" s="161"/>
      <c r="T36" s="161"/>
      <c r="U36" s="161"/>
      <c r="V36" s="161"/>
      <c r="W36" s="161"/>
      <c r="X36" s="161"/>
      <c r="Y36" s="169">
        <v>43</v>
      </c>
      <c r="Z36" s="117">
        <v>27</v>
      </c>
      <c r="AA36" s="117">
        <v>37</v>
      </c>
      <c r="AB36" s="117">
        <v>36</v>
      </c>
      <c r="AC36" s="117"/>
    </row>
    <row r="37" spans="1:31" ht="21" hidden="1" customHeight="1">
      <c r="A37" s="100" t="s">
        <v>14</v>
      </c>
      <c r="B37" s="100"/>
      <c r="C37" s="386"/>
      <c r="D37" s="124"/>
      <c r="E37" s="108"/>
      <c r="F37" s="108"/>
      <c r="G37" s="108"/>
      <c r="H37" s="108"/>
      <c r="I37" s="252">
        <f t="shared" si="20"/>
        <v>0</v>
      </c>
      <c r="J37" s="161"/>
      <c r="K37" s="161"/>
      <c r="L37" s="161">
        <f t="shared" si="17"/>
        <v>0</v>
      </c>
      <c r="M37" s="161"/>
      <c r="N37" s="161"/>
      <c r="O37" s="161"/>
      <c r="P37" s="177"/>
      <c r="Q37" s="161"/>
      <c r="R37" s="161"/>
      <c r="S37" s="161"/>
      <c r="T37" s="161"/>
      <c r="U37" s="161"/>
      <c r="V37" s="161"/>
      <c r="W37" s="161"/>
      <c r="X37" s="161"/>
      <c r="Y37" s="169"/>
      <c r="Z37" s="117"/>
      <c r="AA37" s="117"/>
      <c r="AB37" s="117"/>
      <c r="AC37" s="117"/>
    </row>
    <row r="38" spans="1:31" ht="21" customHeight="1">
      <c r="A38" s="422" t="s">
        <v>116</v>
      </c>
      <c r="B38" s="422">
        <v>77</v>
      </c>
      <c r="C38" s="456">
        <v>60</v>
      </c>
      <c r="D38" s="423">
        <v>36</v>
      </c>
      <c r="E38" s="424">
        <v>40</v>
      </c>
      <c r="F38" s="424">
        <v>7</v>
      </c>
      <c r="G38" s="424"/>
      <c r="H38" s="424"/>
      <c r="I38" s="431">
        <f t="shared" si="20"/>
        <v>220</v>
      </c>
      <c r="J38" s="187"/>
      <c r="K38" s="187">
        <v>7</v>
      </c>
      <c r="L38" s="187">
        <f t="shared" si="17"/>
        <v>83</v>
      </c>
      <c r="M38" s="187"/>
      <c r="N38" s="187"/>
      <c r="O38" s="187">
        <f>C38+D38+E38+F38+G38</f>
        <v>143</v>
      </c>
      <c r="P38" s="177"/>
      <c r="Q38" s="161"/>
      <c r="R38" s="161"/>
      <c r="S38" s="161"/>
      <c r="T38" s="161"/>
      <c r="U38" s="161"/>
      <c r="V38" s="161"/>
      <c r="W38" s="161"/>
      <c r="X38" s="161"/>
      <c r="Y38" s="169">
        <v>53</v>
      </c>
      <c r="Z38" s="117">
        <v>37</v>
      </c>
      <c r="AA38" s="117">
        <v>100</v>
      </c>
      <c r="AB38" s="117">
        <v>46</v>
      </c>
      <c r="AC38" s="117">
        <v>12</v>
      </c>
    </row>
    <row r="39" spans="1:31" ht="21" customHeight="1">
      <c r="A39" s="426" t="s">
        <v>167</v>
      </c>
      <c r="B39" s="99"/>
      <c r="C39" s="388"/>
      <c r="D39" s="123"/>
      <c r="E39" s="109"/>
      <c r="F39" s="109"/>
      <c r="G39" s="109"/>
      <c r="H39" s="109"/>
      <c r="I39" s="252">
        <f t="shared" si="20"/>
        <v>0</v>
      </c>
      <c r="J39" s="161"/>
      <c r="K39" s="161">
        <v>8</v>
      </c>
      <c r="L39" s="161">
        <f t="shared" si="17"/>
        <v>0</v>
      </c>
      <c r="M39" s="161"/>
      <c r="N39" s="161"/>
      <c r="O39" s="161"/>
      <c r="P39" s="177"/>
      <c r="Q39" s="161"/>
      <c r="R39" s="161"/>
      <c r="S39" s="161"/>
      <c r="T39" s="161"/>
      <c r="U39" s="161"/>
      <c r="V39" s="161"/>
      <c r="W39" s="161"/>
      <c r="X39" s="161"/>
      <c r="Y39" s="169"/>
      <c r="Z39" s="117">
        <v>74</v>
      </c>
      <c r="AA39" s="117">
        <v>92</v>
      </c>
      <c r="AB39" s="117">
        <v>59</v>
      </c>
      <c r="AC39" s="117">
        <v>4</v>
      </c>
    </row>
    <row r="40" spans="1:31" ht="21" customHeight="1">
      <c r="A40" s="426" t="s">
        <v>166</v>
      </c>
      <c r="B40" s="426">
        <v>87</v>
      </c>
      <c r="C40" s="460">
        <v>77</v>
      </c>
      <c r="D40" s="427">
        <v>72</v>
      </c>
      <c r="E40" s="428">
        <v>78</v>
      </c>
      <c r="F40" s="428">
        <v>0</v>
      </c>
      <c r="G40" s="428"/>
      <c r="H40" s="428"/>
      <c r="I40" s="431">
        <f t="shared" si="20"/>
        <v>314</v>
      </c>
      <c r="J40" s="187"/>
      <c r="K40" s="187">
        <v>9</v>
      </c>
      <c r="L40" s="187">
        <f t="shared" si="17"/>
        <v>150</v>
      </c>
      <c r="M40" s="187"/>
      <c r="N40" s="187"/>
      <c r="O40" s="187">
        <f>C40+D40+E40+F40+G40</f>
        <v>227</v>
      </c>
      <c r="P40" s="177"/>
      <c r="Q40" s="161"/>
      <c r="R40" s="161"/>
      <c r="S40" s="161"/>
      <c r="T40" s="161"/>
      <c r="U40" s="161"/>
      <c r="V40" s="161"/>
      <c r="W40" s="161"/>
      <c r="X40" s="161"/>
      <c r="Y40" s="169">
        <v>80</v>
      </c>
      <c r="Z40" s="117"/>
      <c r="AA40" s="117"/>
      <c r="AB40" s="117"/>
      <c r="AC40" s="117"/>
    </row>
    <row r="41" spans="1:31" ht="21" customHeight="1">
      <c r="A41" s="426" t="s">
        <v>137</v>
      </c>
      <c r="B41" s="426">
        <v>56</v>
      </c>
      <c r="C41" s="460">
        <v>38</v>
      </c>
      <c r="D41" s="427">
        <v>45</v>
      </c>
      <c r="E41" s="428">
        <v>31</v>
      </c>
      <c r="F41" s="428">
        <v>3</v>
      </c>
      <c r="G41" s="428"/>
      <c r="H41" s="428"/>
      <c r="I41" s="437">
        <f>SUM(B41:H41)</f>
        <v>173</v>
      </c>
      <c r="J41" s="187"/>
      <c r="K41" s="187">
        <v>10</v>
      </c>
      <c r="L41" s="187">
        <f t="shared" si="17"/>
        <v>79</v>
      </c>
      <c r="M41" s="187"/>
      <c r="N41" s="187"/>
      <c r="O41" s="187">
        <f>C41+D41+E41+F41+G41</f>
        <v>117</v>
      </c>
      <c r="P41" s="177"/>
      <c r="Q41" s="161"/>
      <c r="R41" s="161"/>
      <c r="S41" s="161"/>
      <c r="T41" s="161"/>
      <c r="U41" s="161"/>
      <c r="V41" s="161"/>
      <c r="W41" s="161"/>
      <c r="X41" s="161"/>
      <c r="Y41" s="169">
        <v>32</v>
      </c>
      <c r="Z41" s="117"/>
      <c r="AA41" s="117"/>
      <c r="AB41" s="117"/>
      <c r="AC41" s="117">
        <v>2</v>
      </c>
    </row>
    <row r="42" spans="1:31" ht="21" customHeight="1">
      <c r="A42" s="557" t="s">
        <v>3</v>
      </c>
      <c r="B42" s="106">
        <f>SUM(B31:B41)</f>
        <v>571</v>
      </c>
      <c r="C42" s="106">
        <f>SUM(C31:C41)</f>
        <v>374</v>
      </c>
      <c r="D42" s="106">
        <f t="shared" ref="D42:H42" si="21">SUM(D31:D41)</f>
        <v>408</v>
      </c>
      <c r="E42" s="106">
        <f t="shared" si="21"/>
        <v>360</v>
      </c>
      <c r="F42" s="106">
        <f t="shared" si="21"/>
        <v>45</v>
      </c>
      <c r="G42" s="106">
        <f t="shared" ref="G42" si="22">SUM(G31:G41)</f>
        <v>0</v>
      </c>
      <c r="H42" s="106">
        <f t="shared" si="21"/>
        <v>0</v>
      </c>
      <c r="I42" s="106">
        <f>SUM(I31:I41)</f>
        <v>1758</v>
      </c>
      <c r="J42" s="160"/>
      <c r="K42" s="160"/>
      <c r="L42" s="160"/>
      <c r="M42" s="160"/>
      <c r="N42" s="160">
        <f>1+6+17+43</f>
        <v>67</v>
      </c>
      <c r="O42" s="160"/>
      <c r="P42" s="176"/>
      <c r="Q42" s="160"/>
      <c r="R42" s="160"/>
      <c r="S42" s="160"/>
      <c r="T42" s="160"/>
      <c r="U42" s="160"/>
      <c r="V42" s="160"/>
      <c r="W42" s="160"/>
      <c r="X42" s="160"/>
      <c r="Y42" s="169">
        <f>SUM(Y31:Y41)</f>
        <v>452</v>
      </c>
      <c r="Z42" s="117">
        <f>SUM(Z31:Z41)</f>
        <v>341</v>
      </c>
      <c r="AA42" s="117">
        <f>SUM(AA31:AA41)</f>
        <v>468</v>
      </c>
      <c r="AB42" s="117">
        <f>SUM(AB31:AB41)</f>
        <v>317</v>
      </c>
      <c r="AC42" s="117">
        <f>SUM(AC31:AC41)</f>
        <v>110</v>
      </c>
      <c r="AD42" s="117"/>
      <c r="AE42" s="117"/>
    </row>
    <row r="43" spans="1:31" ht="21" customHeight="1">
      <c r="A43" s="97" t="s">
        <v>48</v>
      </c>
      <c r="B43" s="97"/>
      <c r="C43" s="97"/>
      <c r="D43" s="122"/>
      <c r="E43" s="107"/>
      <c r="F43" s="107"/>
      <c r="G43" s="107"/>
      <c r="H43" s="107"/>
      <c r="I43" s="107"/>
      <c r="J43" s="159"/>
      <c r="K43" s="159"/>
      <c r="L43" s="159"/>
      <c r="M43" s="159"/>
      <c r="N43" s="159"/>
      <c r="O43" s="159"/>
      <c r="P43" s="175"/>
      <c r="Q43" s="159"/>
      <c r="R43" s="159"/>
      <c r="S43" s="159"/>
      <c r="T43" s="159"/>
      <c r="U43" s="159"/>
      <c r="V43" s="159"/>
      <c r="W43" s="159"/>
      <c r="X43" s="159"/>
    </row>
    <row r="44" spans="1:31" ht="21" customHeight="1">
      <c r="A44" s="522" t="s">
        <v>13</v>
      </c>
      <c r="B44" s="96">
        <v>1</v>
      </c>
      <c r="C44" s="96">
        <v>1</v>
      </c>
      <c r="D44" s="122">
        <v>5</v>
      </c>
      <c r="E44" s="107"/>
      <c r="F44" s="107">
        <v>2</v>
      </c>
      <c r="G44" s="107"/>
      <c r="H44" s="107"/>
      <c r="I44" s="252">
        <f>SUM(B44:H44)</f>
        <v>9</v>
      </c>
      <c r="J44" s="257" t="s">
        <v>196</v>
      </c>
      <c r="K44" s="258"/>
      <c r="L44" s="258"/>
      <c r="M44" s="258"/>
      <c r="N44" s="258"/>
      <c r="O44" s="258"/>
      <c r="P44" s="183"/>
      <c r="Q44" s="184"/>
      <c r="R44" s="184"/>
      <c r="S44" s="184"/>
      <c r="T44" s="184"/>
      <c r="U44" s="184"/>
      <c r="V44" s="184"/>
      <c r="W44" s="258"/>
      <c r="X44" s="258"/>
      <c r="Y44" s="169">
        <v>6</v>
      </c>
      <c r="Z44" s="117"/>
      <c r="AA44" s="117">
        <v>3</v>
      </c>
      <c r="AB44" s="117"/>
      <c r="AC44" s="117"/>
    </row>
    <row r="45" spans="1:31" ht="21" customHeight="1">
      <c r="A45" s="522" t="s">
        <v>174</v>
      </c>
      <c r="B45" s="96"/>
      <c r="C45" s="96"/>
      <c r="D45" s="122">
        <v>1</v>
      </c>
      <c r="E45" s="107"/>
      <c r="F45" s="107">
        <v>2</v>
      </c>
      <c r="G45" s="107"/>
      <c r="H45" s="107"/>
      <c r="I45" s="254">
        <f>SUM(B45:H45)</f>
        <v>3</v>
      </c>
      <c r="J45" s="257" t="s">
        <v>196</v>
      </c>
      <c r="K45" s="258"/>
      <c r="L45" s="258"/>
      <c r="M45" s="258"/>
      <c r="N45" s="258"/>
      <c r="O45" s="258"/>
      <c r="P45" s="183"/>
      <c r="Q45" s="184"/>
      <c r="R45" s="184"/>
      <c r="S45" s="184"/>
      <c r="T45" s="184"/>
      <c r="U45" s="184"/>
      <c r="V45" s="184"/>
      <c r="W45" s="258"/>
      <c r="X45" s="258"/>
      <c r="Y45" s="169">
        <v>2</v>
      </c>
      <c r="Z45" s="117"/>
      <c r="AA45" s="117">
        <v>3</v>
      </c>
      <c r="AB45" s="117"/>
      <c r="AC45" s="117"/>
    </row>
    <row r="46" spans="1:31" ht="21" customHeight="1">
      <c r="A46" s="95" t="s">
        <v>3</v>
      </c>
      <c r="B46" s="106">
        <f t="shared" ref="B46:I46" si="23">SUM(B44:B45)</f>
        <v>1</v>
      </c>
      <c r="C46" s="106">
        <f t="shared" si="23"/>
        <v>1</v>
      </c>
      <c r="D46" s="106">
        <f t="shared" si="23"/>
        <v>6</v>
      </c>
      <c r="E46" s="106">
        <f t="shared" si="23"/>
        <v>0</v>
      </c>
      <c r="F46" s="106">
        <f t="shared" si="23"/>
        <v>4</v>
      </c>
      <c r="G46" s="106">
        <f t="shared" si="23"/>
        <v>0</v>
      </c>
      <c r="H46" s="106">
        <f t="shared" si="23"/>
        <v>0</v>
      </c>
      <c r="I46" s="106">
        <f t="shared" si="23"/>
        <v>12</v>
      </c>
      <c r="J46" s="160"/>
      <c r="K46" s="160"/>
      <c r="L46" s="160"/>
      <c r="M46" s="160"/>
      <c r="N46" s="160"/>
      <c r="O46" s="160"/>
      <c r="P46" s="176"/>
      <c r="Q46" s="109">
        <v>21</v>
      </c>
      <c r="R46" s="109">
        <v>33</v>
      </c>
      <c r="S46" s="109">
        <f>4+2+1</f>
        <v>7</v>
      </c>
      <c r="T46" s="160">
        <f>SUM(Q46:S46)</f>
        <v>61</v>
      </c>
      <c r="U46" s="160"/>
      <c r="V46" s="160"/>
      <c r="W46" s="160"/>
      <c r="X46" s="160"/>
      <c r="Y46" s="169">
        <f>SUM(Y44:Y45)</f>
        <v>8</v>
      </c>
      <c r="AA46" s="117">
        <f>SUM(AA44:AA45)</f>
        <v>6</v>
      </c>
      <c r="AB46" s="117">
        <f>SUM(AB44:AB45)</f>
        <v>0</v>
      </c>
      <c r="AD46" s="169"/>
    </row>
    <row r="47" spans="1:31" ht="21" customHeight="1">
      <c r="A47" s="97" t="s">
        <v>49</v>
      </c>
      <c r="B47" s="97"/>
      <c r="C47" s="97"/>
      <c r="D47" s="122"/>
      <c r="E47" s="107"/>
      <c r="F47" s="107"/>
      <c r="G47" s="107"/>
      <c r="H47" s="107"/>
      <c r="I47" s="107"/>
      <c r="J47" s="159"/>
      <c r="K47" s="159"/>
      <c r="L47" s="159"/>
      <c r="M47" s="159"/>
      <c r="N47" s="159"/>
      <c r="O47" s="159"/>
      <c r="P47" s="175"/>
      <c r="Q47" s="109">
        <v>19</v>
      </c>
      <c r="R47" s="109">
        <v>20</v>
      </c>
      <c r="S47" s="109">
        <f>4+3+1</f>
        <v>8</v>
      </c>
      <c r="T47" s="160">
        <f t="shared" ref="T47:T50" si="24">SUM(Q47:S47)</f>
        <v>47</v>
      </c>
      <c r="U47" s="159"/>
      <c r="V47" s="159"/>
      <c r="W47" s="159"/>
      <c r="X47" s="159"/>
    </row>
    <row r="48" spans="1:31" ht="21" customHeight="1">
      <c r="A48" s="522" t="s">
        <v>13</v>
      </c>
      <c r="B48" s="96">
        <v>1</v>
      </c>
      <c r="C48" s="96">
        <v>1</v>
      </c>
      <c r="D48" s="122">
        <v>4</v>
      </c>
      <c r="E48" s="107"/>
      <c r="F48" s="107"/>
      <c r="G48" s="107">
        <v>2</v>
      </c>
      <c r="H48" s="107"/>
      <c r="I48" s="249">
        <f>SUM(B48:H48)</f>
        <v>8</v>
      </c>
      <c r="J48" s="159"/>
      <c r="K48" s="159"/>
      <c r="L48" s="159"/>
      <c r="M48" s="159"/>
      <c r="N48" s="159"/>
      <c r="O48" s="159"/>
      <c r="P48" s="175"/>
      <c r="Q48" s="109">
        <f>20+27</f>
        <v>47</v>
      </c>
      <c r="R48" s="109">
        <f>26+27+1</f>
        <v>54</v>
      </c>
      <c r="S48" s="109">
        <f>5+5+5</f>
        <v>15</v>
      </c>
      <c r="T48" s="160">
        <f t="shared" si="24"/>
        <v>116</v>
      </c>
      <c r="U48" s="159"/>
      <c r="V48" s="159"/>
      <c r="W48" s="159"/>
      <c r="X48" s="159"/>
    </row>
    <row r="49" spans="1:30" ht="21" customHeight="1">
      <c r="A49" s="95" t="s">
        <v>3</v>
      </c>
      <c r="B49" s="106">
        <f t="shared" ref="B49:I49" si="25">SUM(B48:B48)</f>
        <v>1</v>
      </c>
      <c r="C49" s="106">
        <f t="shared" si="25"/>
        <v>1</v>
      </c>
      <c r="D49" s="106">
        <f t="shared" si="25"/>
        <v>4</v>
      </c>
      <c r="E49" s="106">
        <f t="shared" si="25"/>
        <v>0</v>
      </c>
      <c r="F49" s="106">
        <f t="shared" si="25"/>
        <v>0</v>
      </c>
      <c r="G49" s="106">
        <f t="shared" ref="G49" si="26">SUM(G48:G48)</f>
        <v>2</v>
      </c>
      <c r="H49" s="106">
        <f t="shared" si="25"/>
        <v>0</v>
      </c>
      <c r="I49" s="106">
        <f t="shared" si="25"/>
        <v>8</v>
      </c>
      <c r="J49" s="160"/>
      <c r="K49" s="160"/>
      <c r="L49" s="160"/>
      <c r="M49" s="160"/>
      <c r="N49" s="160"/>
      <c r="O49" s="160"/>
      <c r="P49" s="176"/>
      <c r="Q49" s="109">
        <v>12</v>
      </c>
      <c r="R49" s="109">
        <v>11</v>
      </c>
      <c r="S49" s="109">
        <v>5</v>
      </c>
      <c r="T49" s="160">
        <f t="shared" si="24"/>
        <v>28</v>
      </c>
      <c r="U49" s="160"/>
      <c r="V49" s="160"/>
      <c r="W49" s="160"/>
      <c r="X49" s="160"/>
    </row>
    <row r="50" spans="1:30" ht="21" customHeight="1">
      <c r="A50" s="101" t="s">
        <v>216</v>
      </c>
      <c r="B50" s="110">
        <f t="shared" ref="B50:I50" si="27">SUM(B63,B69,B73)</f>
        <v>272</v>
      </c>
      <c r="C50" s="110">
        <f t="shared" si="27"/>
        <v>235</v>
      </c>
      <c r="D50" s="110">
        <f t="shared" si="27"/>
        <v>202</v>
      </c>
      <c r="E50" s="110">
        <f t="shared" si="27"/>
        <v>184</v>
      </c>
      <c r="F50" s="110">
        <f t="shared" si="27"/>
        <v>46</v>
      </c>
      <c r="G50" s="595">
        <f t="shared" si="27"/>
        <v>0</v>
      </c>
      <c r="H50" s="110">
        <f t="shared" si="27"/>
        <v>0</v>
      </c>
      <c r="I50" s="110">
        <f t="shared" si="27"/>
        <v>939</v>
      </c>
      <c r="J50" s="162"/>
      <c r="K50" s="162"/>
      <c r="L50" s="162"/>
      <c r="M50" s="162"/>
      <c r="N50" s="162"/>
      <c r="O50" s="162"/>
      <c r="P50" s="548">
        <v>918</v>
      </c>
      <c r="Q50" s="109">
        <f>19+7</f>
        <v>26</v>
      </c>
      <c r="R50" s="109">
        <v>14</v>
      </c>
      <c r="S50" s="109">
        <f>2+2</f>
        <v>4</v>
      </c>
      <c r="T50" s="160">
        <f t="shared" si="24"/>
        <v>44</v>
      </c>
      <c r="U50" s="162"/>
      <c r="V50" s="162"/>
      <c r="W50" s="162"/>
      <c r="X50" s="162"/>
      <c r="AA50" s="117">
        <f>I50</f>
        <v>939</v>
      </c>
      <c r="AD50" s="93">
        <f>1294+870</f>
        <v>2164</v>
      </c>
    </row>
    <row r="51" spans="1:30" ht="21" customHeight="1">
      <c r="A51" s="426" t="s">
        <v>243</v>
      </c>
      <c r="B51" s="99"/>
      <c r="C51" s="99"/>
      <c r="D51" s="427">
        <v>16</v>
      </c>
      <c r="E51" s="428">
        <v>14</v>
      </c>
      <c r="F51" s="428">
        <v>14</v>
      </c>
      <c r="G51" s="428"/>
      <c r="H51" s="428"/>
      <c r="I51" s="431">
        <f t="shared" ref="I51:I62" si="28">SUM(B51:H51)</f>
        <v>44</v>
      </c>
      <c r="J51" s="161"/>
      <c r="K51" s="161"/>
      <c r="L51" s="161">
        <f t="shared" ref="L51:L62" si="29">SUM(D51:H51)</f>
        <v>44</v>
      </c>
      <c r="M51" s="161"/>
      <c r="N51" s="161"/>
      <c r="O51" s="161">
        <f t="shared" ref="O51:O56" si="30">C51+D51+E51+F51+G51</f>
        <v>44</v>
      </c>
      <c r="P51" s="488" t="s">
        <v>251</v>
      </c>
      <c r="Q51" s="161"/>
      <c r="R51" s="161"/>
      <c r="S51" s="161"/>
      <c r="T51" s="161">
        <f>SUM(T46:T50)</f>
        <v>296</v>
      </c>
      <c r="U51" s="161"/>
      <c r="V51" s="161"/>
      <c r="W51" s="161"/>
      <c r="X51" s="161"/>
      <c r="Y51" s="169">
        <v>45</v>
      </c>
      <c r="Z51" s="117">
        <v>21</v>
      </c>
      <c r="AA51" s="117">
        <v>22</v>
      </c>
      <c r="AB51" s="117">
        <v>18</v>
      </c>
      <c r="AC51" s="117">
        <v>7</v>
      </c>
    </row>
    <row r="52" spans="1:30" ht="21" customHeight="1">
      <c r="A52" s="426" t="s">
        <v>309</v>
      </c>
      <c r="B52" s="426">
        <v>37</v>
      </c>
      <c r="C52" s="426">
        <v>17</v>
      </c>
      <c r="D52" s="427"/>
      <c r="E52" s="428"/>
      <c r="F52" s="428"/>
      <c r="G52" s="428"/>
      <c r="H52" s="428"/>
      <c r="I52" s="431">
        <f t="shared" si="28"/>
        <v>54</v>
      </c>
      <c r="J52" s="187"/>
      <c r="K52" s="187"/>
      <c r="L52" s="187">
        <f t="shared" si="29"/>
        <v>0</v>
      </c>
      <c r="M52" s="187"/>
      <c r="N52" s="187"/>
      <c r="O52" s="187">
        <f t="shared" si="30"/>
        <v>17</v>
      </c>
      <c r="P52" s="177"/>
      <c r="Q52" s="161"/>
      <c r="R52" s="161"/>
      <c r="S52" s="161"/>
      <c r="T52" s="161"/>
      <c r="U52" s="161"/>
      <c r="V52" s="161"/>
      <c r="W52" s="161"/>
      <c r="X52" s="161"/>
      <c r="Y52" s="169">
        <v>85</v>
      </c>
      <c r="Z52" s="117">
        <v>52</v>
      </c>
      <c r="AA52" s="117">
        <v>51</v>
      </c>
      <c r="AB52" s="117">
        <v>53</v>
      </c>
      <c r="AC52" s="117">
        <v>15</v>
      </c>
    </row>
    <row r="53" spans="1:30" ht="21" customHeight="1">
      <c r="A53" s="426" t="s">
        <v>310</v>
      </c>
      <c r="B53" s="426">
        <v>49</v>
      </c>
      <c r="C53" s="426">
        <v>59</v>
      </c>
      <c r="D53" s="427"/>
      <c r="E53" s="428"/>
      <c r="F53" s="428"/>
      <c r="G53" s="428"/>
      <c r="H53" s="428"/>
      <c r="I53" s="431">
        <f t="shared" si="28"/>
        <v>108</v>
      </c>
      <c r="J53" s="187"/>
      <c r="K53" s="187"/>
      <c r="L53" s="187">
        <f t="shared" ref="L53" si="31">SUM(D53:H53)</f>
        <v>0</v>
      </c>
      <c r="M53" s="187"/>
      <c r="N53" s="187"/>
      <c r="O53" s="187">
        <f t="shared" si="30"/>
        <v>59</v>
      </c>
      <c r="P53" s="177"/>
      <c r="Q53" s="161"/>
      <c r="R53" s="161"/>
      <c r="S53" s="161"/>
      <c r="T53" s="161"/>
      <c r="U53" s="161"/>
      <c r="V53" s="161"/>
      <c r="W53" s="161"/>
      <c r="X53" s="161"/>
      <c r="Y53" s="169">
        <v>85</v>
      </c>
      <c r="Z53" s="117">
        <v>52</v>
      </c>
      <c r="AA53" s="117">
        <v>51</v>
      </c>
      <c r="AB53" s="117">
        <v>53</v>
      </c>
      <c r="AC53" s="117">
        <v>15</v>
      </c>
    </row>
    <row r="54" spans="1:30" ht="21" customHeight="1">
      <c r="A54" s="426" t="s">
        <v>311</v>
      </c>
      <c r="B54" s="426">
        <v>34</v>
      </c>
      <c r="C54" s="426">
        <v>26</v>
      </c>
      <c r="D54" s="427"/>
      <c r="E54" s="428"/>
      <c r="F54" s="428"/>
      <c r="G54" s="428"/>
      <c r="H54" s="428"/>
      <c r="I54" s="431">
        <f t="shared" si="28"/>
        <v>60</v>
      </c>
      <c r="J54" s="187"/>
      <c r="K54" s="187"/>
      <c r="L54" s="187"/>
      <c r="M54" s="187"/>
      <c r="N54" s="187"/>
      <c r="O54" s="187">
        <f t="shared" si="30"/>
        <v>26</v>
      </c>
      <c r="P54" s="177"/>
      <c r="Q54" s="161"/>
      <c r="R54" s="161"/>
      <c r="S54" s="161"/>
      <c r="T54" s="161"/>
      <c r="U54" s="161"/>
      <c r="V54" s="161"/>
      <c r="W54" s="161"/>
      <c r="X54" s="161"/>
      <c r="Y54" s="169"/>
      <c r="Z54" s="117"/>
      <c r="AA54" s="117"/>
      <c r="AB54" s="117"/>
      <c r="AC54" s="117"/>
    </row>
    <row r="55" spans="1:30" ht="21" customHeight="1">
      <c r="A55" s="426" t="s">
        <v>312</v>
      </c>
      <c r="B55" s="426">
        <v>71</v>
      </c>
      <c r="C55" s="426">
        <v>45</v>
      </c>
      <c r="D55" s="427"/>
      <c r="E55" s="428"/>
      <c r="F55" s="428"/>
      <c r="G55" s="428"/>
      <c r="H55" s="428"/>
      <c r="I55" s="431">
        <f t="shared" si="28"/>
        <v>116</v>
      </c>
      <c r="J55" s="187"/>
      <c r="K55" s="187"/>
      <c r="L55" s="187"/>
      <c r="M55" s="187"/>
      <c r="N55" s="187"/>
      <c r="O55" s="187">
        <f t="shared" si="30"/>
        <v>45</v>
      </c>
      <c r="P55" s="177"/>
      <c r="Q55" s="161"/>
      <c r="R55" s="161"/>
      <c r="S55" s="161"/>
      <c r="T55" s="161"/>
      <c r="U55" s="161"/>
      <c r="V55" s="161"/>
      <c r="W55" s="161"/>
      <c r="X55" s="161"/>
      <c r="Y55" s="169"/>
      <c r="Z55" s="117"/>
      <c r="AA55" s="117"/>
      <c r="AB55" s="117"/>
      <c r="AC55" s="117"/>
    </row>
    <row r="56" spans="1:30" ht="21" customHeight="1">
      <c r="A56" s="426" t="s">
        <v>218</v>
      </c>
      <c r="B56" s="99"/>
      <c r="C56" s="99"/>
      <c r="D56" s="427">
        <v>61</v>
      </c>
      <c r="E56" s="428">
        <v>58</v>
      </c>
      <c r="F56" s="428">
        <v>4</v>
      </c>
      <c r="G56" s="428"/>
      <c r="H56" s="428"/>
      <c r="I56" s="431">
        <f t="shared" si="28"/>
        <v>123</v>
      </c>
      <c r="J56" s="187"/>
      <c r="K56" s="187"/>
      <c r="L56" s="187">
        <f t="shared" si="29"/>
        <v>123</v>
      </c>
      <c r="M56" s="187"/>
      <c r="N56" s="187"/>
      <c r="O56" s="187">
        <f t="shared" si="30"/>
        <v>123</v>
      </c>
      <c r="P56" s="177"/>
      <c r="Q56" s="161"/>
      <c r="R56" s="161"/>
      <c r="S56" s="161"/>
      <c r="T56" s="161"/>
      <c r="U56" s="161"/>
      <c r="V56" s="161"/>
      <c r="W56" s="161"/>
      <c r="X56" s="161"/>
      <c r="Y56" s="169">
        <v>85</v>
      </c>
      <c r="Z56" s="117">
        <v>52</v>
      </c>
      <c r="AA56" s="117">
        <v>51</v>
      </c>
      <c r="AB56" s="117">
        <v>53</v>
      </c>
      <c r="AC56" s="117">
        <v>15</v>
      </c>
    </row>
    <row r="57" spans="1:30" ht="21" customHeight="1">
      <c r="A57" s="426" t="s">
        <v>245</v>
      </c>
      <c r="B57" s="99"/>
      <c r="C57" s="99"/>
      <c r="D57" s="123"/>
      <c r="E57" s="428">
        <v>10</v>
      </c>
      <c r="F57" s="428">
        <v>2</v>
      </c>
      <c r="G57" s="428"/>
      <c r="H57" s="428"/>
      <c r="I57" s="431">
        <f t="shared" si="28"/>
        <v>12</v>
      </c>
      <c r="J57" s="187"/>
      <c r="K57" s="187"/>
      <c r="L57" s="187">
        <f t="shared" si="29"/>
        <v>12</v>
      </c>
      <c r="M57" s="187"/>
      <c r="N57" s="187"/>
      <c r="O57" s="187">
        <f t="shared" ref="O57:O62" si="32">C57+D57+E57+F57+G57</f>
        <v>12</v>
      </c>
      <c r="P57" s="177"/>
      <c r="Q57" s="161"/>
      <c r="R57" s="161"/>
      <c r="S57" s="161"/>
      <c r="T57" s="161"/>
      <c r="U57" s="161"/>
      <c r="V57" s="161"/>
      <c r="W57" s="161"/>
      <c r="X57" s="161"/>
      <c r="Y57" s="169">
        <v>36</v>
      </c>
      <c r="Z57" s="117"/>
      <c r="AA57" s="117"/>
      <c r="AB57" s="117"/>
      <c r="AC57" s="117"/>
    </row>
    <row r="58" spans="1:30" ht="21" customHeight="1">
      <c r="A58" s="426" t="s">
        <v>176</v>
      </c>
      <c r="B58" s="99"/>
      <c r="C58" s="99"/>
      <c r="D58" s="123"/>
      <c r="E58" s="428">
        <v>16</v>
      </c>
      <c r="F58" s="428">
        <v>1</v>
      </c>
      <c r="G58" s="428"/>
      <c r="H58" s="428"/>
      <c r="I58" s="431">
        <f t="shared" si="28"/>
        <v>17</v>
      </c>
      <c r="J58" s="187"/>
      <c r="K58" s="187"/>
      <c r="L58" s="187">
        <f t="shared" si="29"/>
        <v>17</v>
      </c>
      <c r="M58" s="187"/>
      <c r="N58" s="187"/>
      <c r="O58" s="187">
        <f t="shared" si="32"/>
        <v>17</v>
      </c>
      <c r="P58" s="177"/>
      <c r="Q58" s="161"/>
      <c r="R58" s="161"/>
      <c r="S58" s="161"/>
      <c r="T58" s="161"/>
      <c r="U58" s="161"/>
      <c r="V58" s="161"/>
      <c r="W58" s="161"/>
      <c r="X58" s="161"/>
      <c r="Y58" s="169">
        <v>46</v>
      </c>
      <c r="Z58" s="117"/>
      <c r="AA58" s="117"/>
      <c r="AB58" s="117"/>
      <c r="AC58" s="117"/>
    </row>
    <row r="59" spans="1:30" ht="21" customHeight="1">
      <c r="A59" s="426" t="s">
        <v>246</v>
      </c>
      <c r="B59" s="99"/>
      <c r="C59" s="99"/>
      <c r="D59" s="427">
        <v>34</v>
      </c>
      <c r="E59" s="428">
        <v>32</v>
      </c>
      <c r="F59" s="428">
        <v>3</v>
      </c>
      <c r="G59" s="428"/>
      <c r="H59" s="428"/>
      <c r="I59" s="431">
        <f t="shared" si="28"/>
        <v>69</v>
      </c>
      <c r="J59" s="187"/>
      <c r="K59" s="187"/>
      <c r="L59" s="187">
        <f t="shared" si="29"/>
        <v>69</v>
      </c>
      <c r="M59" s="187"/>
      <c r="N59" s="187"/>
      <c r="O59" s="187">
        <f t="shared" si="32"/>
        <v>69</v>
      </c>
      <c r="P59" s="177"/>
      <c r="Q59" s="161"/>
      <c r="R59" s="161"/>
      <c r="S59" s="161"/>
      <c r="T59" s="161"/>
      <c r="U59" s="161"/>
      <c r="V59" s="161"/>
      <c r="W59" s="161"/>
      <c r="X59" s="161"/>
      <c r="Y59" s="169">
        <v>44</v>
      </c>
      <c r="Z59" s="117"/>
      <c r="AA59" s="117"/>
      <c r="AB59" s="117"/>
      <c r="AC59" s="117"/>
    </row>
    <row r="60" spans="1:30" ht="21" customHeight="1">
      <c r="A60" s="426" t="s">
        <v>247</v>
      </c>
      <c r="B60" s="426">
        <v>63</v>
      </c>
      <c r="C60" s="426">
        <v>31</v>
      </c>
      <c r="D60" s="427">
        <v>42</v>
      </c>
      <c r="E60" s="428">
        <v>29</v>
      </c>
      <c r="F60" s="428">
        <v>5</v>
      </c>
      <c r="G60" s="428"/>
      <c r="H60" s="428"/>
      <c r="I60" s="431">
        <f t="shared" si="28"/>
        <v>170</v>
      </c>
      <c r="J60" s="187"/>
      <c r="K60" s="187"/>
      <c r="L60" s="187">
        <f t="shared" si="29"/>
        <v>76</v>
      </c>
      <c r="M60" s="187"/>
      <c r="N60" s="187"/>
      <c r="O60" s="187">
        <f t="shared" si="32"/>
        <v>107</v>
      </c>
      <c r="P60" s="177"/>
      <c r="Q60" s="161">
        <f>I60+I61</f>
        <v>244</v>
      </c>
      <c r="R60" s="161"/>
      <c r="S60" s="161"/>
      <c r="T60" s="161"/>
      <c r="U60" s="161"/>
      <c r="V60" s="161"/>
      <c r="W60" s="161"/>
      <c r="X60" s="161"/>
      <c r="Y60" s="169"/>
      <c r="Z60" s="117">
        <v>13</v>
      </c>
      <c r="AA60" s="117">
        <v>12</v>
      </c>
      <c r="AB60" s="117">
        <v>8</v>
      </c>
      <c r="AC60" s="117"/>
    </row>
    <row r="61" spans="1:30" ht="21" customHeight="1">
      <c r="A61" s="426" t="s">
        <v>248</v>
      </c>
      <c r="B61" s="426">
        <v>18</v>
      </c>
      <c r="C61" s="426">
        <v>10</v>
      </c>
      <c r="D61" s="427">
        <v>13</v>
      </c>
      <c r="E61" s="428">
        <v>17</v>
      </c>
      <c r="F61" s="428">
        <v>16</v>
      </c>
      <c r="G61" s="428"/>
      <c r="H61" s="428"/>
      <c r="I61" s="431">
        <f t="shared" si="28"/>
        <v>74</v>
      </c>
      <c r="J61" s="187"/>
      <c r="K61" s="187"/>
      <c r="L61" s="187">
        <f t="shared" si="29"/>
        <v>46</v>
      </c>
      <c r="M61" s="187"/>
      <c r="N61" s="187"/>
      <c r="O61" s="187">
        <f t="shared" si="32"/>
        <v>56</v>
      </c>
      <c r="P61" s="177"/>
      <c r="Q61" s="161"/>
      <c r="R61" s="161"/>
      <c r="S61" s="161"/>
      <c r="T61" s="161"/>
      <c r="U61" s="161"/>
      <c r="V61" s="161"/>
      <c r="W61" s="161"/>
      <c r="X61" s="161"/>
      <c r="Y61" s="169"/>
      <c r="Z61" s="117">
        <v>13</v>
      </c>
      <c r="AA61" s="117">
        <v>12</v>
      </c>
      <c r="AB61" s="117">
        <v>8</v>
      </c>
      <c r="AC61" s="117"/>
    </row>
    <row r="62" spans="1:30" ht="21" customHeight="1">
      <c r="A62" s="426" t="s">
        <v>244</v>
      </c>
      <c r="B62" s="99"/>
      <c r="C62" s="99"/>
      <c r="D62" s="427">
        <v>19</v>
      </c>
      <c r="E62" s="428">
        <v>7</v>
      </c>
      <c r="F62" s="428">
        <v>1</v>
      </c>
      <c r="G62" s="428"/>
      <c r="H62" s="428"/>
      <c r="I62" s="431">
        <f t="shared" si="28"/>
        <v>27</v>
      </c>
      <c r="J62" s="161"/>
      <c r="K62" s="161"/>
      <c r="L62" s="161">
        <f t="shared" si="29"/>
        <v>27</v>
      </c>
      <c r="M62" s="161"/>
      <c r="N62" s="161"/>
      <c r="O62" s="161">
        <f t="shared" si="32"/>
        <v>27</v>
      </c>
      <c r="P62" s="177"/>
      <c r="Q62" s="161"/>
      <c r="R62" s="161"/>
      <c r="S62" s="161"/>
      <c r="T62" s="161"/>
      <c r="U62" s="161"/>
      <c r="V62" s="161"/>
      <c r="W62" s="161"/>
      <c r="X62" s="161"/>
      <c r="Y62" s="169">
        <v>32</v>
      </c>
      <c r="Z62" s="117">
        <v>21</v>
      </c>
      <c r="AA62" s="117">
        <v>17</v>
      </c>
      <c r="AB62" s="117">
        <v>22</v>
      </c>
      <c r="AC62" s="117">
        <v>4</v>
      </c>
    </row>
    <row r="63" spans="1:30" ht="21" customHeight="1">
      <c r="A63" s="102" t="s">
        <v>217</v>
      </c>
      <c r="B63" s="110">
        <f t="shared" ref="B63:I63" si="33">SUM(B51:B62)</f>
        <v>272</v>
      </c>
      <c r="C63" s="110">
        <f t="shared" si="33"/>
        <v>188</v>
      </c>
      <c r="D63" s="110">
        <f t="shared" si="33"/>
        <v>185</v>
      </c>
      <c r="E63" s="110">
        <f t="shared" si="33"/>
        <v>183</v>
      </c>
      <c r="F63" s="110">
        <f t="shared" si="33"/>
        <v>46</v>
      </c>
      <c r="G63" s="110">
        <f t="shared" si="33"/>
        <v>0</v>
      </c>
      <c r="H63" s="110">
        <f t="shared" si="33"/>
        <v>0</v>
      </c>
      <c r="I63" s="110">
        <f t="shared" si="33"/>
        <v>874</v>
      </c>
      <c r="J63" s="162"/>
      <c r="K63" s="162"/>
      <c r="L63" s="162"/>
      <c r="M63" s="162"/>
      <c r="N63" s="162"/>
      <c r="O63" s="162"/>
      <c r="P63" s="178"/>
      <c r="Q63" s="162">
        <f>E63+E69</f>
        <v>184</v>
      </c>
      <c r="R63" s="162">
        <f>D63+D69</f>
        <v>202</v>
      </c>
      <c r="S63" s="162">
        <f>C63+C69</f>
        <v>235</v>
      </c>
      <c r="T63" s="162">
        <f>I63+I69</f>
        <v>939</v>
      </c>
      <c r="U63" s="162"/>
      <c r="V63" s="162"/>
      <c r="W63" s="162"/>
      <c r="X63" s="162"/>
      <c r="Y63" s="169">
        <f>SUM(Y51:Y62)</f>
        <v>458</v>
      </c>
      <c r="Z63" s="117">
        <f>SUM(Z51:Z62)</f>
        <v>224</v>
      </c>
      <c r="AA63" s="117">
        <f>SUM(AA51:AA62)</f>
        <v>216</v>
      </c>
      <c r="AB63" s="117">
        <f>SUM(AB51:AB62)</f>
        <v>215</v>
      </c>
      <c r="AC63" s="117">
        <f>SUM(AC51:AC62)</f>
        <v>56</v>
      </c>
      <c r="AD63" s="169"/>
    </row>
    <row r="64" spans="1:30" ht="21" customHeight="1">
      <c r="A64" s="422" t="s">
        <v>249</v>
      </c>
      <c r="B64" s="100"/>
      <c r="C64" s="100"/>
      <c r="D64" s="124"/>
      <c r="E64" s="108"/>
      <c r="F64" s="108"/>
      <c r="G64" s="108"/>
      <c r="H64" s="108"/>
      <c r="I64" s="249">
        <f>SUM(B64:H64)</f>
        <v>0</v>
      </c>
      <c r="J64" s="161"/>
      <c r="K64" s="161"/>
      <c r="L64" s="161">
        <f t="shared" ref="L64:L68" si="34">SUM(D64:H64)</f>
        <v>0</v>
      </c>
      <c r="M64" s="161"/>
      <c r="N64" s="161"/>
      <c r="O64" s="161">
        <f>C64+D64+E64+F64+G64</f>
        <v>0</v>
      </c>
      <c r="P64" s="177"/>
      <c r="Q64" s="161"/>
      <c r="R64" s="161"/>
      <c r="S64" s="161"/>
      <c r="T64" s="161"/>
      <c r="U64" s="161"/>
      <c r="V64" s="161"/>
      <c r="W64" s="161"/>
      <c r="X64" s="161"/>
      <c r="Y64" s="169"/>
      <c r="Z64" s="117"/>
      <c r="AA64" s="117"/>
      <c r="AB64" s="117"/>
      <c r="AC64" s="117"/>
    </row>
    <row r="65" spans="1:29" ht="21" customHeight="1">
      <c r="A65" s="426" t="s">
        <v>297</v>
      </c>
      <c r="B65" s="99"/>
      <c r="C65" s="426">
        <v>8</v>
      </c>
      <c r="D65" s="427">
        <v>9</v>
      </c>
      <c r="E65" s="428"/>
      <c r="F65" s="428"/>
      <c r="G65" s="428"/>
      <c r="H65" s="428"/>
      <c r="I65" s="431">
        <f t="shared" ref="I65:I67" si="35">SUM(B65:H65)</f>
        <v>17</v>
      </c>
      <c r="J65" s="187"/>
      <c r="K65" s="187"/>
      <c r="L65" s="187">
        <f t="shared" si="34"/>
        <v>9</v>
      </c>
      <c r="M65" s="187"/>
      <c r="N65" s="187"/>
      <c r="O65" s="187">
        <f>C65+D65+E65+F65+G65</f>
        <v>17</v>
      </c>
      <c r="P65" s="177"/>
      <c r="Q65" s="161"/>
      <c r="R65" s="161"/>
      <c r="S65" s="161"/>
      <c r="T65" s="161"/>
      <c r="U65" s="161"/>
      <c r="V65" s="161"/>
      <c r="W65" s="161"/>
      <c r="X65" s="161"/>
      <c r="Y65" s="169"/>
      <c r="Z65" s="117">
        <v>13</v>
      </c>
      <c r="AA65" s="117">
        <v>12</v>
      </c>
      <c r="AB65" s="117">
        <v>8</v>
      </c>
      <c r="AC65" s="117"/>
    </row>
    <row r="66" spans="1:29" ht="21" customHeight="1">
      <c r="A66" s="426" t="s">
        <v>296</v>
      </c>
      <c r="B66" s="99"/>
      <c r="C66" s="426">
        <v>27</v>
      </c>
      <c r="D66" s="427">
        <v>5</v>
      </c>
      <c r="E66" s="428">
        <v>1</v>
      </c>
      <c r="F66" s="428"/>
      <c r="G66" s="428"/>
      <c r="H66" s="428"/>
      <c r="I66" s="431">
        <f t="shared" si="35"/>
        <v>33</v>
      </c>
      <c r="J66" s="187"/>
      <c r="K66" s="187"/>
      <c r="L66" s="187">
        <f t="shared" si="34"/>
        <v>6</v>
      </c>
      <c r="M66" s="187"/>
      <c r="N66" s="187"/>
      <c r="O66" s="187">
        <f>C66+D66+E66+F66+G66</f>
        <v>33</v>
      </c>
      <c r="P66" s="177"/>
      <c r="Q66" s="161"/>
      <c r="R66" s="161"/>
      <c r="S66" s="161"/>
      <c r="T66" s="161"/>
      <c r="U66" s="161"/>
      <c r="V66" s="161"/>
      <c r="W66" s="161"/>
      <c r="X66" s="161"/>
      <c r="Y66" s="169"/>
      <c r="Z66" s="117">
        <v>13</v>
      </c>
      <c r="AA66" s="117">
        <v>12</v>
      </c>
      <c r="AB66" s="117">
        <v>8</v>
      </c>
      <c r="AC66" s="117"/>
    </row>
    <row r="67" spans="1:29" ht="21" customHeight="1">
      <c r="A67" s="426" t="s">
        <v>246</v>
      </c>
      <c r="B67" s="99"/>
      <c r="C67" s="426">
        <v>12</v>
      </c>
      <c r="D67" s="427">
        <v>2</v>
      </c>
      <c r="E67" s="428"/>
      <c r="F67" s="428"/>
      <c r="G67" s="428"/>
      <c r="H67" s="428"/>
      <c r="I67" s="431">
        <f t="shared" si="35"/>
        <v>14</v>
      </c>
      <c r="J67" s="187"/>
      <c r="K67" s="187"/>
      <c r="L67" s="187">
        <f t="shared" si="34"/>
        <v>2</v>
      </c>
      <c r="M67" s="187"/>
      <c r="N67" s="187"/>
      <c r="O67" s="187">
        <f>C67+D67+E67+F67+G67</f>
        <v>14</v>
      </c>
      <c r="P67" s="177"/>
      <c r="Q67" s="161"/>
      <c r="R67" s="161"/>
      <c r="S67" s="161"/>
      <c r="T67" s="161"/>
      <c r="U67" s="161"/>
      <c r="V67" s="161"/>
      <c r="W67" s="161"/>
      <c r="X67" s="161"/>
      <c r="Y67" s="169">
        <v>25</v>
      </c>
      <c r="Z67" s="117"/>
      <c r="AA67" s="117"/>
      <c r="AB67" s="117"/>
      <c r="AC67" s="117"/>
    </row>
    <row r="68" spans="1:29" ht="21" customHeight="1">
      <c r="A68" s="422" t="s">
        <v>250</v>
      </c>
      <c r="B68" s="422"/>
      <c r="C68" s="422"/>
      <c r="D68" s="423">
        <v>1</v>
      </c>
      <c r="E68" s="424"/>
      <c r="F68" s="424"/>
      <c r="G68" s="424"/>
      <c r="H68" s="424"/>
      <c r="I68" s="437">
        <f>SUM(B68:H68)</f>
        <v>1</v>
      </c>
      <c r="J68" s="187"/>
      <c r="K68" s="187"/>
      <c r="L68" s="187">
        <f t="shared" si="34"/>
        <v>1</v>
      </c>
      <c r="M68" s="187"/>
      <c r="N68" s="187"/>
      <c r="O68" s="187">
        <f>C68+D68+E68+F68+G68</f>
        <v>1</v>
      </c>
      <c r="P68" s="177"/>
      <c r="Q68" s="161"/>
      <c r="R68" s="161"/>
      <c r="S68" s="161"/>
      <c r="T68" s="161"/>
      <c r="U68" s="161"/>
      <c r="V68" s="161"/>
      <c r="W68" s="161"/>
      <c r="X68" s="161"/>
      <c r="Y68" s="169">
        <v>21</v>
      </c>
      <c r="Z68" s="117">
        <v>33</v>
      </c>
      <c r="AA68" s="117">
        <v>16</v>
      </c>
      <c r="AB68" s="117">
        <v>2</v>
      </c>
      <c r="AC68" s="117"/>
    </row>
    <row r="69" spans="1:29" ht="21" customHeight="1">
      <c r="A69" s="95" t="s">
        <v>219</v>
      </c>
      <c r="B69" s="106">
        <f t="shared" ref="B69:H69" si="36">SUM(B64:B68)</f>
        <v>0</v>
      </c>
      <c r="C69" s="106">
        <f t="shared" si="36"/>
        <v>47</v>
      </c>
      <c r="D69" s="106">
        <f t="shared" si="36"/>
        <v>17</v>
      </c>
      <c r="E69" s="106">
        <f t="shared" si="36"/>
        <v>1</v>
      </c>
      <c r="F69" s="106">
        <f t="shared" si="36"/>
        <v>0</v>
      </c>
      <c r="G69" s="106">
        <f t="shared" si="36"/>
        <v>0</v>
      </c>
      <c r="H69" s="106">
        <f t="shared" si="36"/>
        <v>0</v>
      </c>
      <c r="I69" s="106">
        <f>SUM(I64:I68)</f>
        <v>65</v>
      </c>
      <c r="J69" s="160"/>
      <c r="K69" s="160"/>
      <c r="L69" s="160"/>
      <c r="M69" s="160"/>
      <c r="N69" s="160"/>
      <c r="O69" s="160"/>
      <c r="P69" s="176"/>
      <c r="Q69" s="160">
        <f>13+14+26+25+42</f>
        <v>120</v>
      </c>
      <c r="R69" s="160">
        <f>120+51</f>
        <v>171</v>
      </c>
      <c r="S69" s="160"/>
      <c r="T69" s="160"/>
      <c r="U69" s="160"/>
      <c r="V69" s="160"/>
      <c r="W69" s="160"/>
      <c r="X69" s="160"/>
      <c r="Y69" s="170">
        <f>SUM(Y64:Y68)</f>
        <v>46</v>
      </c>
      <c r="Z69" s="117">
        <f>SUM(Z64:Z68)</f>
        <v>59</v>
      </c>
      <c r="AA69" s="117">
        <f>SUM(AA64:AA68)</f>
        <v>40</v>
      </c>
      <c r="AB69" s="117">
        <f>SUM(AB64:AB68)</f>
        <v>18</v>
      </c>
      <c r="AC69" s="117">
        <f>SUM(AC64:AC68)</f>
        <v>0</v>
      </c>
    </row>
    <row r="70" spans="1:29" ht="21" customHeight="1">
      <c r="A70" s="99" t="s">
        <v>48</v>
      </c>
      <c r="B70" s="99"/>
      <c r="C70" s="99"/>
      <c r="D70" s="123"/>
      <c r="E70" s="109"/>
      <c r="F70" s="109"/>
      <c r="G70" s="109"/>
      <c r="H70" s="109"/>
      <c r="I70" s="109"/>
      <c r="J70" s="161"/>
      <c r="K70" s="161"/>
      <c r="L70" s="161"/>
      <c r="M70" s="161"/>
      <c r="N70" s="161"/>
      <c r="O70" s="161"/>
      <c r="P70" s="177"/>
      <c r="Q70" s="161"/>
      <c r="R70" s="161"/>
      <c r="S70" s="161"/>
      <c r="T70" s="161"/>
      <c r="U70" s="161"/>
      <c r="V70" s="161"/>
      <c r="W70" s="161"/>
      <c r="X70" s="161"/>
    </row>
    <row r="71" spans="1:29" ht="21" customHeight="1">
      <c r="A71" s="422" t="s">
        <v>109</v>
      </c>
      <c r="B71" s="100"/>
      <c r="C71" s="100"/>
      <c r="D71" s="124"/>
      <c r="E71" s="108"/>
      <c r="F71" s="108"/>
      <c r="G71" s="108"/>
      <c r="H71" s="108"/>
      <c r="I71" s="252">
        <f>SUM(B71:H71)</f>
        <v>0</v>
      </c>
      <c r="J71" s="161"/>
      <c r="K71" s="161"/>
      <c r="L71" s="161"/>
      <c r="M71" s="161"/>
      <c r="N71" s="161"/>
      <c r="O71" s="161"/>
      <c r="P71" s="177"/>
      <c r="Q71" s="161"/>
      <c r="R71" s="161"/>
      <c r="S71" s="161"/>
      <c r="T71" s="161"/>
      <c r="U71" s="161"/>
      <c r="V71" s="161"/>
      <c r="W71" s="161"/>
      <c r="X71" s="161"/>
    </row>
    <row r="72" spans="1:29" ht="21" customHeight="1">
      <c r="A72" s="103"/>
      <c r="B72" s="103"/>
      <c r="C72" s="103"/>
      <c r="D72" s="125"/>
      <c r="E72" s="111"/>
      <c r="F72" s="111"/>
      <c r="G72" s="111"/>
      <c r="H72" s="111"/>
      <c r="I72" s="111"/>
      <c r="J72" s="161"/>
      <c r="K72" s="161"/>
      <c r="L72" s="161"/>
      <c r="M72" s="161"/>
      <c r="N72" s="161"/>
      <c r="O72" s="161"/>
      <c r="P72" s="177"/>
      <c r="Q72" s="161"/>
      <c r="R72" s="161"/>
      <c r="S72" s="161"/>
      <c r="T72" s="161"/>
      <c r="U72" s="161"/>
      <c r="V72" s="161"/>
      <c r="W72" s="161"/>
      <c r="X72" s="161"/>
    </row>
    <row r="73" spans="1:29" ht="21" customHeight="1">
      <c r="A73" s="95" t="s">
        <v>3</v>
      </c>
      <c r="B73" s="106">
        <f t="shared" ref="B73" si="37">SUM(B71:B72)</f>
        <v>0</v>
      </c>
      <c r="C73" s="106">
        <f t="shared" ref="C73:H73" si="38">SUM(C71:C72)</f>
        <v>0</v>
      </c>
      <c r="D73" s="106">
        <f t="shared" si="38"/>
        <v>0</v>
      </c>
      <c r="E73" s="106">
        <f t="shared" si="38"/>
        <v>0</v>
      </c>
      <c r="F73" s="106">
        <f t="shared" si="38"/>
        <v>0</v>
      </c>
      <c r="G73" s="106">
        <f t="shared" ref="G73" si="39">SUM(G71:G72)</f>
        <v>0</v>
      </c>
      <c r="H73" s="106">
        <f t="shared" si="38"/>
        <v>0</v>
      </c>
      <c r="I73" s="106">
        <f>SUM(I71:I72)</f>
        <v>0</v>
      </c>
      <c r="J73" s="160"/>
      <c r="K73" s="160"/>
      <c r="L73" s="160"/>
      <c r="M73" s="160"/>
      <c r="N73" s="160"/>
      <c r="O73" s="160"/>
      <c r="P73" s="176"/>
      <c r="Q73" s="160"/>
      <c r="R73" s="160"/>
      <c r="S73" s="160"/>
      <c r="T73" s="160"/>
      <c r="U73" s="160"/>
      <c r="V73" s="160"/>
      <c r="W73" s="160"/>
      <c r="X73" s="160"/>
    </row>
    <row r="74" spans="1:29" ht="21" customHeight="1">
      <c r="A74" s="101" t="s">
        <v>16</v>
      </c>
      <c r="B74" s="110">
        <f>SUM(B75:B83)</f>
        <v>292</v>
      </c>
      <c r="C74" s="110">
        <f>SUM(C75:C83)</f>
        <v>113</v>
      </c>
      <c r="D74" s="110">
        <f t="shared" ref="D74:H74" si="40">SUM(D75:D83)</f>
        <v>243</v>
      </c>
      <c r="E74" s="110">
        <f t="shared" si="40"/>
        <v>166</v>
      </c>
      <c r="F74" s="110">
        <f t="shared" si="40"/>
        <v>31</v>
      </c>
      <c r="G74" s="110">
        <f t="shared" ref="G74" si="41">SUM(G75:G83)</f>
        <v>0</v>
      </c>
      <c r="H74" s="110">
        <f t="shared" si="40"/>
        <v>0</v>
      </c>
      <c r="I74" s="110">
        <f>SUM(I75:I83)</f>
        <v>845</v>
      </c>
      <c r="J74" s="162"/>
      <c r="K74" s="162"/>
      <c r="L74" s="162"/>
      <c r="M74" s="162">
        <f>136+113+168+271</f>
        <v>688</v>
      </c>
      <c r="N74" s="162"/>
      <c r="O74" s="162"/>
      <c r="P74" s="548">
        <v>862</v>
      </c>
      <c r="Q74" s="162"/>
      <c r="R74" s="162"/>
      <c r="S74" s="162"/>
      <c r="T74" s="162"/>
      <c r="U74" s="162"/>
      <c r="V74" s="162"/>
      <c r="W74" s="162"/>
      <c r="X74" s="162"/>
      <c r="AA74" s="117">
        <f>I74</f>
        <v>845</v>
      </c>
    </row>
    <row r="75" spans="1:29" ht="21" customHeight="1">
      <c r="A75" s="426" t="s">
        <v>17</v>
      </c>
      <c r="B75" s="426"/>
      <c r="C75" s="426"/>
      <c r="D75" s="427">
        <v>109</v>
      </c>
      <c r="E75" s="428">
        <v>84</v>
      </c>
      <c r="F75" s="428">
        <v>13</v>
      </c>
      <c r="G75" s="428"/>
      <c r="H75" s="428"/>
      <c r="I75" s="434">
        <f>SUM(B75:H75)</f>
        <v>206</v>
      </c>
      <c r="J75" s="187"/>
      <c r="K75" s="187"/>
      <c r="L75" s="187">
        <f t="shared" ref="L75:L97" si="42">SUM(D75:H75)</f>
        <v>206</v>
      </c>
      <c r="M75" s="187"/>
      <c r="N75" s="187"/>
      <c r="O75" s="187">
        <f t="shared" ref="O75:O81" si="43">C75+D75+E75+F75+G75</f>
        <v>206</v>
      </c>
      <c r="P75" s="177"/>
      <c r="Q75" s="161">
        <f>I75+Q76</f>
        <v>206</v>
      </c>
      <c r="R75" s="161"/>
      <c r="S75" s="161"/>
      <c r="T75" s="161"/>
      <c r="U75" s="161"/>
      <c r="V75" s="161"/>
      <c r="W75" s="161"/>
      <c r="X75" s="161"/>
      <c r="Y75" s="169">
        <v>119</v>
      </c>
      <c r="Z75" s="117">
        <v>65</v>
      </c>
      <c r="AA75" s="117">
        <v>88</v>
      </c>
      <c r="AB75" s="117">
        <v>36</v>
      </c>
      <c r="AC75" s="117">
        <v>3</v>
      </c>
    </row>
    <row r="76" spans="1:29" ht="21" customHeight="1">
      <c r="A76" s="426" t="s">
        <v>345</v>
      </c>
      <c r="B76" s="426">
        <v>40</v>
      </c>
      <c r="C76" s="100"/>
      <c r="D76" s="124"/>
      <c r="E76" s="108"/>
      <c r="F76" s="108"/>
      <c r="G76" s="108"/>
      <c r="H76" s="108"/>
      <c r="I76" s="252">
        <f>SUM(B76:H76)</f>
        <v>40</v>
      </c>
      <c r="J76" s="161"/>
      <c r="K76" s="161"/>
      <c r="L76" s="161"/>
      <c r="M76" s="161"/>
      <c r="N76" s="161"/>
      <c r="O76" s="161">
        <f t="shared" si="43"/>
        <v>0</v>
      </c>
      <c r="P76" s="177"/>
      <c r="Q76" s="161">
        <f>C76+C77+C78</f>
        <v>0</v>
      </c>
      <c r="R76" s="161"/>
      <c r="S76" s="161"/>
      <c r="T76" s="161"/>
      <c r="U76" s="161"/>
      <c r="V76" s="161"/>
      <c r="W76" s="161"/>
      <c r="X76" s="161"/>
      <c r="Y76" s="169"/>
      <c r="Z76" s="117"/>
      <c r="AA76" s="117"/>
      <c r="AB76" s="117"/>
      <c r="AC76" s="117"/>
    </row>
    <row r="77" spans="1:29" ht="21" customHeight="1">
      <c r="A77" s="426" t="s">
        <v>307</v>
      </c>
      <c r="B77" s="426">
        <v>44</v>
      </c>
      <c r="C77" s="643"/>
      <c r="D77" s="124"/>
      <c r="E77" s="108"/>
      <c r="F77" s="108"/>
      <c r="G77" s="108"/>
      <c r="H77" s="108"/>
      <c r="I77" s="252">
        <f t="shared" ref="I77:I80" si="44">SUM(B77:H77)</f>
        <v>44</v>
      </c>
      <c r="J77" s="161"/>
      <c r="K77" s="161"/>
      <c r="L77" s="161"/>
      <c r="M77" s="161"/>
      <c r="N77" s="161"/>
      <c r="O77" s="161">
        <f t="shared" si="43"/>
        <v>0</v>
      </c>
      <c r="P77" s="177"/>
      <c r="Q77" s="161"/>
      <c r="R77" s="161"/>
      <c r="S77" s="161"/>
      <c r="T77" s="161"/>
      <c r="U77" s="161"/>
      <c r="V77" s="161"/>
      <c r="W77" s="161"/>
      <c r="X77" s="161"/>
      <c r="Y77" s="169"/>
      <c r="Z77" s="117"/>
      <c r="AA77" s="117"/>
      <c r="AB77" s="117"/>
      <c r="AC77" s="117"/>
    </row>
    <row r="78" spans="1:29" ht="21" customHeight="1">
      <c r="A78" s="426" t="s">
        <v>308</v>
      </c>
      <c r="B78" s="426">
        <v>98</v>
      </c>
      <c r="C78" s="100"/>
      <c r="D78" s="124"/>
      <c r="E78" s="108"/>
      <c r="F78" s="108"/>
      <c r="G78" s="108"/>
      <c r="H78" s="108"/>
      <c r="I78" s="252">
        <f>SUM(B78:H78)</f>
        <v>98</v>
      </c>
      <c r="J78" s="161"/>
      <c r="K78" s="161"/>
      <c r="L78" s="161"/>
      <c r="M78" s="161"/>
      <c r="N78" s="161"/>
      <c r="O78" s="161">
        <f t="shared" si="43"/>
        <v>0</v>
      </c>
      <c r="P78" s="177"/>
      <c r="Q78" s="161"/>
      <c r="R78" s="161"/>
      <c r="S78" s="161"/>
      <c r="T78" s="161"/>
      <c r="U78" s="161"/>
      <c r="V78" s="161"/>
      <c r="W78" s="161"/>
      <c r="X78" s="161"/>
      <c r="Y78" s="169"/>
      <c r="Z78" s="117"/>
      <c r="AA78" s="117"/>
      <c r="AB78" s="117"/>
      <c r="AC78" s="117"/>
    </row>
    <row r="79" spans="1:29" ht="21" customHeight="1">
      <c r="A79" s="422" t="s">
        <v>38</v>
      </c>
      <c r="B79" s="422">
        <v>52</v>
      </c>
      <c r="C79" s="422">
        <v>47</v>
      </c>
      <c r="D79" s="423">
        <v>46</v>
      </c>
      <c r="E79" s="424">
        <v>43</v>
      </c>
      <c r="F79" s="424">
        <v>7</v>
      </c>
      <c r="G79" s="424"/>
      <c r="H79" s="424"/>
      <c r="I79" s="431">
        <f t="shared" si="44"/>
        <v>195</v>
      </c>
      <c r="J79" s="187"/>
      <c r="K79" s="187"/>
      <c r="L79" s="187">
        <f t="shared" si="42"/>
        <v>96</v>
      </c>
      <c r="M79" s="187"/>
      <c r="N79" s="187"/>
      <c r="O79" s="187">
        <f t="shared" si="43"/>
        <v>143</v>
      </c>
      <c r="P79" s="177"/>
      <c r="Q79" s="161"/>
      <c r="R79" s="161"/>
      <c r="S79" s="161"/>
      <c r="T79" s="161"/>
      <c r="U79" s="161"/>
      <c r="V79" s="161"/>
      <c r="W79" s="161"/>
      <c r="X79" s="161"/>
      <c r="Y79" s="169">
        <v>38</v>
      </c>
      <c r="Z79" s="117">
        <v>18</v>
      </c>
      <c r="AA79" s="117">
        <v>26</v>
      </c>
      <c r="AB79" s="117">
        <v>32</v>
      </c>
      <c r="AC79" s="117">
        <v>2</v>
      </c>
    </row>
    <row r="80" spans="1:29" ht="21" customHeight="1">
      <c r="A80" s="444" t="s">
        <v>18</v>
      </c>
      <c r="B80" s="444">
        <v>30</v>
      </c>
      <c r="C80" s="444">
        <v>37</v>
      </c>
      <c r="D80" s="445">
        <v>40</v>
      </c>
      <c r="E80" s="446">
        <v>30</v>
      </c>
      <c r="F80" s="446">
        <v>9</v>
      </c>
      <c r="G80" s="446"/>
      <c r="H80" s="446"/>
      <c r="I80" s="431">
        <f t="shared" si="44"/>
        <v>146</v>
      </c>
      <c r="J80" s="187"/>
      <c r="K80" s="187"/>
      <c r="L80" s="187">
        <f t="shared" si="42"/>
        <v>79</v>
      </c>
      <c r="M80" s="187"/>
      <c r="N80" s="187"/>
      <c r="O80" s="187">
        <f t="shared" si="43"/>
        <v>116</v>
      </c>
      <c r="P80" s="177"/>
      <c r="Q80" s="161"/>
      <c r="R80" s="161"/>
      <c r="S80" s="161"/>
      <c r="T80" s="161"/>
      <c r="U80" s="161"/>
      <c r="V80" s="161"/>
      <c r="W80" s="161"/>
      <c r="X80" s="161"/>
      <c r="Y80" s="169">
        <v>61</v>
      </c>
      <c r="Z80" s="117">
        <v>34</v>
      </c>
      <c r="AA80" s="117">
        <v>30</v>
      </c>
      <c r="AB80" s="117">
        <v>15</v>
      </c>
      <c r="AC80" s="117">
        <v>1</v>
      </c>
    </row>
    <row r="81" spans="1:29" ht="21" customHeight="1">
      <c r="A81" s="444" t="s">
        <v>169</v>
      </c>
      <c r="B81" s="444">
        <v>28</v>
      </c>
      <c r="C81" s="444">
        <v>29</v>
      </c>
      <c r="D81" s="445">
        <v>48</v>
      </c>
      <c r="E81" s="446">
        <v>9</v>
      </c>
      <c r="F81" s="446">
        <v>2</v>
      </c>
      <c r="G81" s="446"/>
      <c r="H81" s="446"/>
      <c r="I81" s="437">
        <f>SUM(B81:H81)</f>
        <v>116</v>
      </c>
      <c r="J81" s="187"/>
      <c r="K81" s="187"/>
      <c r="L81" s="187">
        <f t="shared" si="42"/>
        <v>59</v>
      </c>
      <c r="M81" s="187"/>
      <c r="N81" s="187"/>
      <c r="O81" s="187">
        <f t="shared" si="43"/>
        <v>88</v>
      </c>
      <c r="P81" s="177"/>
      <c r="Q81" s="161"/>
      <c r="R81" s="161"/>
      <c r="S81" s="161"/>
      <c r="T81" s="161"/>
      <c r="U81" s="161"/>
      <c r="V81" s="161"/>
      <c r="W81" s="161"/>
      <c r="X81" s="161"/>
      <c r="Y81" s="169">
        <v>33</v>
      </c>
      <c r="Z81" s="117"/>
      <c r="AA81" s="117"/>
      <c r="AB81" s="117"/>
      <c r="AC81" s="117"/>
    </row>
    <row r="82" spans="1:29" ht="21" hidden="1" customHeight="1">
      <c r="A82" s="103" t="s">
        <v>120</v>
      </c>
      <c r="B82" s="103"/>
      <c r="C82" s="103"/>
      <c r="D82" s="125"/>
      <c r="E82" s="111"/>
      <c r="F82" s="111"/>
      <c r="G82" s="111"/>
      <c r="H82" s="111"/>
      <c r="I82" s="111"/>
      <c r="J82" s="161"/>
      <c r="K82" s="161"/>
      <c r="L82" s="161">
        <f t="shared" si="42"/>
        <v>0</v>
      </c>
      <c r="M82" s="161"/>
      <c r="N82" s="161"/>
      <c r="O82" s="161"/>
      <c r="P82" s="177"/>
      <c r="Q82" s="161"/>
      <c r="R82" s="161"/>
      <c r="S82" s="161"/>
      <c r="T82" s="161"/>
      <c r="U82" s="161"/>
      <c r="V82" s="161"/>
      <c r="W82" s="161"/>
      <c r="X82" s="161"/>
    </row>
    <row r="83" spans="1:29" ht="21" hidden="1" customHeight="1">
      <c r="A83" s="103" t="s">
        <v>107</v>
      </c>
      <c r="B83" s="103"/>
      <c r="C83" s="103"/>
      <c r="D83" s="125"/>
      <c r="E83" s="111"/>
      <c r="F83" s="111"/>
      <c r="G83" s="111"/>
      <c r="H83" s="111"/>
      <c r="I83" s="111"/>
      <c r="J83" s="161"/>
      <c r="K83" s="161"/>
      <c r="L83" s="161">
        <f t="shared" si="42"/>
        <v>0</v>
      </c>
      <c r="M83" s="161"/>
      <c r="N83" s="161"/>
      <c r="O83" s="161"/>
      <c r="P83" s="177"/>
      <c r="Q83" s="161"/>
      <c r="R83" s="161"/>
      <c r="S83" s="161"/>
      <c r="T83" s="161"/>
      <c r="U83" s="161"/>
      <c r="V83" s="161"/>
      <c r="W83" s="161"/>
      <c r="X83" s="161"/>
    </row>
    <row r="84" spans="1:29" ht="21" hidden="1" customHeight="1">
      <c r="A84" s="95" t="s">
        <v>3</v>
      </c>
      <c r="B84" s="95"/>
      <c r="C84" s="95"/>
      <c r="D84" s="121"/>
      <c r="E84" s="106">
        <f>SUM(E75:E83)</f>
        <v>166</v>
      </c>
      <c r="F84" s="106">
        <f>SUM(F75:F83)</f>
        <v>31</v>
      </c>
      <c r="G84" s="106">
        <f>SUM(G75:G83)</f>
        <v>0</v>
      </c>
      <c r="H84" s="106">
        <f>SUM(H75:H83)</f>
        <v>0</v>
      </c>
      <c r="I84" s="106">
        <f>SUM(I75:I83)</f>
        <v>845</v>
      </c>
      <c r="J84" s="160"/>
      <c r="K84" s="160"/>
      <c r="L84" s="161">
        <f t="shared" si="42"/>
        <v>197</v>
      </c>
      <c r="M84" s="160"/>
      <c r="N84" s="160"/>
      <c r="O84" s="160"/>
      <c r="P84" s="176"/>
      <c r="Q84" s="160"/>
      <c r="R84" s="160"/>
      <c r="S84" s="160"/>
      <c r="T84" s="160"/>
      <c r="U84" s="160"/>
      <c r="V84" s="160"/>
      <c r="W84" s="160"/>
      <c r="X84" s="160"/>
    </row>
    <row r="85" spans="1:29" ht="21" customHeight="1">
      <c r="A85" s="101" t="s">
        <v>19</v>
      </c>
      <c r="B85" s="110">
        <f>SUM(B86:B97)</f>
        <v>724</v>
      </c>
      <c r="C85" s="110">
        <f>SUM(C86:C97)</f>
        <v>530</v>
      </c>
      <c r="D85" s="110">
        <f>SUM(D86:D97)</f>
        <v>501</v>
      </c>
      <c r="E85" s="110">
        <f t="shared" ref="E85:F85" si="45">SUM(E86:E97)</f>
        <v>441</v>
      </c>
      <c r="F85" s="110">
        <f t="shared" si="45"/>
        <v>59</v>
      </c>
      <c r="G85" s="110">
        <f>SUM(G86:G97)</f>
        <v>0</v>
      </c>
      <c r="H85" s="110">
        <f>SUM(H86:H97)</f>
        <v>0</v>
      </c>
      <c r="I85" s="110">
        <f>SUM(I86:I97)</f>
        <v>2255</v>
      </c>
      <c r="J85" s="162"/>
      <c r="K85" s="162"/>
      <c r="L85" s="161">
        <f t="shared" si="42"/>
        <v>1001</v>
      </c>
      <c r="M85" s="162"/>
      <c r="N85" s="162"/>
      <c r="O85" s="162"/>
      <c r="P85" s="548">
        <v>1981</v>
      </c>
      <c r="Q85" s="162"/>
      <c r="R85" s="162"/>
      <c r="S85" s="162"/>
      <c r="T85" s="162"/>
      <c r="U85" s="162"/>
      <c r="V85" s="162"/>
      <c r="W85" s="162"/>
      <c r="X85" s="162"/>
      <c r="Y85" s="117">
        <f>SUM(Y75:Y84)</f>
        <v>251</v>
      </c>
      <c r="Z85" s="117">
        <f>SUM(Z75:Z84)</f>
        <v>117</v>
      </c>
      <c r="AA85" s="117">
        <f>SUM(AA75:AA84)</f>
        <v>144</v>
      </c>
      <c r="AB85" s="117">
        <f>SUM(AB75:AB84)</f>
        <v>83</v>
      </c>
      <c r="AC85" s="117">
        <f>SUM(AC75:AC84)</f>
        <v>6</v>
      </c>
    </row>
    <row r="86" spans="1:29" s="461" customFormat="1" ht="21" customHeight="1">
      <c r="A86" s="441" t="s">
        <v>215</v>
      </c>
      <c r="B86" s="259"/>
      <c r="C86" s="259"/>
      <c r="D86" s="260"/>
      <c r="E86" s="114"/>
      <c r="F86" s="114"/>
      <c r="G86" s="114"/>
      <c r="H86" s="114"/>
      <c r="I86" s="249">
        <f>SUM(B86:H86)</f>
        <v>0</v>
      </c>
      <c r="J86" s="187"/>
      <c r="K86" s="187">
        <v>1</v>
      </c>
      <c r="L86" s="187">
        <f t="shared" si="42"/>
        <v>0</v>
      </c>
      <c r="M86" s="187"/>
      <c r="N86" s="187"/>
      <c r="O86" s="187">
        <f t="shared" ref="O86:O97" si="46">C86+D86+E86+F86+G86</f>
        <v>0</v>
      </c>
      <c r="P86" s="177"/>
      <c r="Q86" s="161"/>
      <c r="R86" s="161"/>
      <c r="S86" s="161"/>
      <c r="T86" s="161"/>
      <c r="U86" s="161"/>
      <c r="V86" s="161"/>
      <c r="W86" s="187"/>
      <c r="X86" s="187"/>
      <c r="Y86" s="473">
        <v>78</v>
      </c>
      <c r="Z86" s="474">
        <v>55</v>
      </c>
      <c r="AA86" s="474">
        <v>52</v>
      </c>
      <c r="AB86" s="474">
        <v>29</v>
      </c>
      <c r="AC86" s="474">
        <v>16</v>
      </c>
    </row>
    <row r="87" spans="1:29" ht="21" customHeight="1">
      <c r="A87" s="422" t="s">
        <v>4</v>
      </c>
      <c r="B87" s="422">
        <v>56</v>
      </c>
      <c r="C87" s="456">
        <v>56</v>
      </c>
      <c r="D87" s="423">
        <v>55</v>
      </c>
      <c r="E87" s="424">
        <v>39</v>
      </c>
      <c r="F87" s="424">
        <v>10</v>
      </c>
      <c r="G87" s="424"/>
      <c r="H87" s="424"/>
      <c r="I87" s="431">
        <f t="shared" ref="I87:I96" si="47">SUM(B87:H87)</f>
        <v>216</v>
      </c>
      <c r="J87" s="187"/>
      <c r="K87" s="187">
        <v>2</v>
      </c>
      <c r="L87" s="187">
        <f t="shared" si="42"/>
        <v>104</v>
      </c>
      <c r="M87" s="187"/>
      <c r="N87" s="187"/>
      <c r="O87" s="187">
        <f t="shared" si="46"/>
        <v>160</v>
      </c>
      <c r="P87" s="177"/>
      <c r="Q87" s="161"/>
      <c r="R87" s="161"/>
      <c r="S87" s="161"/>
      <c r="T87" s="161"/>
      <c r="U87" s="161"/>
      <c r="V87" s="161"/>
      <c r="W87" s="161"/>
      <c r="X87" s="161"/>
      <c r="Y87" s="169">
        <v>49</v>
      </c>
      <c r="Z87" s="117">
        <v>47</v>
      </c>
      <c r="AA87" s="117">
        <v>46</v>
      </c>
      <c r="AB87" s="117">
        <v>40</v>
      </c>
      <c r="AC87" s="117">
        <v>7</v>
      </c>
    </row>
    <row r="88" spans="1:29" ht="21" customHeight="1">
      <c r="A88" s="422" t="s">
        <v>214</v>
      </c>
      <c r="B88" s="422">
        <v>89</v>
      </c>
      <c r="C88" s="456">
        <v>54</v>
      </c>
      <c r="D88" s="423">
        <v>67</v>
      </c>
      <c r="E88" s="424">
        <v>46</v>
      </c>
      <c r="F88" s="424">
        <v>2</v>
      </c>
      <c r="G88" s="424"/>
      <c r="H88" s="424"/>
      <c r="I88" s="431">
        <f t="shared" si="47"/>
        <v>258</v>
      </c>
      <c r="J88" s="187"/>
      <c r="K88" s="187">
        <v>2</v>
      </c>
      <c r="L88" s="187">
        <f t="shared" si="42"/>
        <v>115</v>
      </c>
      <c r="M88" s="187"/>
      <c r="N88" s="187"/>
      <c r="O88" s="187">
        <f t="shared" si="46"/>
        <v>169</v>
      </c>
      <c r="P88" s="177"/>
      <c r="Q88" s="161"/>
      <c r="R88" s="161"/>
      <c r="S88" s="161"/>
      <c r="T88" s="161"/>
      <c r="U88" s="161"/>
      <c r="V88" s="161"/>
      <c r="W88" s="161"/>
      <c r="X88" s="161"/>
      <c r="Y88" s="169">
        <v>49</v>
      </c>
      <c r="Z88" s="117">
        <v>47</v>
      </c>
      <c r="AA88" s="117">
        <v>46</v>
      </c>
      <c r="AB88" s="117">
        <v>40</v>
      </c>
      <c r="AC88" s="117">
        <v>7</v>
      </c>
    </row>
    <row r="89" spans="1:29" ht="21" customHeight="1">
      <c r="A89" s="422" t="s">
        <v>76</v>
      </c>
      <c r="B89" s="422">
        <v>79</v>
      </c>
      <c r="C89" s="456">
        <v>42</v>
      </c>
      <c r="D89" s="423">
        <v>34</v>
      </c>
      <c r="E89" s="424">
        <v>42</v>
      </c>
      <c r="F89" s="424">
        <v>2</v>
      </c>
      <c r="G89" s="424"/>
      <c r="H89" s="424"/>
      <c r="I89" s="431">
        <f t="shared" si="47"/>
        <v>199</v>
      </c>
      <c r="J89" s="187"/>
      <c r="K89" s="187">
        <v>3</v>
      </c>
      <c r="L89" s="187">
        <f t="shared" si="42"/>
        <v>78</v>
      </c>
      <c r="M89" s="187"/>
      <c r="N89" s="187"/>
      <c r="O89" s="187">
        <f t="shared" si="46"/>
        <v>120</v>
      </c>
      <c r="P89" s="177"/>
      <c r="Q89" s="161"/>
      <c r="R89" s="161"/>
      <c r="S89" s="161"/>
      <c r="T89" s="161"/>
      <c r="U89" s="161"/>
      <c r="V89" s="161"/>
      <c r="W89" s="161"/>
      <c r="X89" s="161"/>
      <c r="Y89" s="169">
        <v>40</v>
      </c>
      <c r="Z89" s="117">
        <v>38</v>
      </c>
      <c r="AA89" s="117">
        <v>61</v>
      </c>
      <c r="AB89" s="117">
        <v>38</v>
      </c>
      <c r="AC89" s="117"/>
    </row>
    <row r="90" spans="1:29" ht="21" customHeight="1">
      <c r="A90" s="422" t="s">
        <v>21</v>
      </c>
      <c r="B90" s="422">
        <v>65</v>
      </c>
      <c r="C90" s="456">
        <v>49</v>
      </c>
      <c r="D90" s="423">
        <v>47</v>
      </c>
      <c r="E90" s="424">
        <v>28</v>
      </c>
      <c r="F90" s="424">
        <v>6</v>
      </c>
      <c r="G90" s="424"/>
      <c r="H90" s="424"/>
      <c r="I90" s="431">
        <f t="shared" si="47"/>
        <v>195</v>
      </c>
      <c r="J90" s="187"/>
      <c r="K90" s="187">
        <v>4</v>
      </c>
      <c r="L90" s="187">
        <f t="shared" si="42"/>
        <v>81</v>
      </c>
      <c r="M90" s="187"/>
      <c r="N90" s="187"/>
      <c r="O90" s="187">
        <f t="shared" si="46"/>
        <v>130</v>
      </c>
      <c r="P90" s="177"/>
      <c r="Q90" s="161"/>
      <c r="R90" s="161"/>
      <c r="S90" s="161"/>
      <c r="T90" s="161"/>
      <c r="U90" s="161"/>
      <c r="V90" s="161"/>
      <c r="W90" s="161"/>
      <c r="X90" s="161"/>
      <c r="Y90" s="169">
        <v>49</v>
      </c>
      <c r="Z90" s="117"/>
      <c r="AA90" s="117">
        <v>42</v>
      </c>
      <c r="AB90" s="117"/>
      <c r="AC90" s="117">
        <v>2</v>
      </c>
    </row>
    <row r="91" spans="1:29" ht="21" customHeight="1">
      <c r="A91" s="422" t="s">
        <v>22</v>
      </c>
      <c r="B91" s="422">
        <v>102</v>
      </c>
      <c r="C91" s="456">
        <v>63</v>
      </c>
      <c r="D91" s="423">
        <v>40</v>
      </c>
      <c r="E91" s="424">
        <v>78</v>
      </c>
      <c r="F91" s="424">
        <v>7</v>
      </c>
      <c r="G91" s="424"/>
      <c r="H91" s="424"/>
      <c r="I91" s="431">
        <f t="shared" si="47"/>
        <v>290</v>
      </c>
      <c r="J91" s="187"/>
      <c r="K91" s="187">
        <v>5</v>
      </c>
      <c r="L91" s="187">
        <f t="shared" si="42"/>
        <v>125</v>
      </c>
      <c r="M91" s="187"/>
      <c r="N91" s="187"/>
      <c r="O91" s="187">
        <f t="shared" si="46"/>
        <v>188</v>
      </c>
      <c r="P91" s="177"/>
      <c r="Q91" s="161"/>
      <c r="R91" s="161"/>
      <c r="S91" s="161"/>
      <c r="T91" s="161"/>
      <c r="U91" s="161"/>
      <c r="V91" s="161"/>
      <c r="W91" s="161"/>
      <c r="X91" s="161"/>
      <c r="Y91" s="169">
        <v>104</v>
      </c>
      <c r="Z91" s="117">
        <v>41</v>
      </c>
      <c r="AA91" s="117">
        <v>47</v>
      </c>
      <c r="AB91" s="117">
        <v>36</v>
      </c>
      <c r="AC91" s="117">
        <v>11</v>
      </c>
    </row>
    <row r="92" spans="1:29" ht="21" customHeight="1">
      <c r="A92" s="422" t="s">
        <v>81</v>
      </c>
      <c r="B92" s="422">
        <v>32</v>
      </c>
      <c r="C92" s="456">
        <v>23</v>
      </c>
      <c r="D92" s="423">
        <v>33</v>
      </c>
      <c r="E92" s="424">
        <v>28</v>
      </c>
      <c r="F92" s="424">
        <v>19</v>
      </c>
      <c r="G92" s="424"/>
      <c r="H92" s="424"/>
      <c r="I92" s="431">
        <f t="shared" si="47"/>
        <v>135</v>
      </c>
      <c r="J92" s="187"/>
      <c r="K92" s="187">
        <v>6</v>
      </c>
      <c r="L92" s="187">
        <f t="shared" si="42"/>
        <v>80</v>
      </c>
      <c r="M92" s="187"/>
      <c r="N92" s="187"/>
      <c r="O92" s="187">
        <f t="shared" si="46"/>
        <v>103</v>
      </c>
      <c r="P92" s="177"/>
      <c r="Q92" s="161"/>
      <c r="R92" s="161"/>
      <c r="S92" s="161"/>
      <c r="T92" s="161"/>
      <c r="U92" s="161"/>
      <c r="V92" s="161"/>
      <c r="W92" s="161"/>
      <c r="X92" s="161"/>
      <c r="Y92" s="169">
        <v>44</v>
      </c>
      <c r="Z92" s="117">
        <v>28</v>
      </c>
      <c r="AA92" s="117">
        <v>23</v>
      </c>
      <c r="AB92" s="117">
        <v>21</v>
      </c>
      <c r="AC92" s="117"/>
    </row>
    <row r="93" spans="1:29" ht="21" customHeight="1">
      <c r="A93" s="422" t="s">
        <v>24</v>
      </c>
      <c r="B93" s="422">
        <v>38</v>
      </c>
      <c r="C93" s="456">
        <v>42</v>
      </c>
      <c r="D93" s="423">
        <v>49</v>
      </c>
      <c r="E93" s="424">
        <v>70</v>
      </c>
      <c r="F93" s="424"/>
      <c r="G93" s="424"/>
      <c r="H93" s="424"/>
      <c r="I93" s="431">
        <f t="shared" si="47"/>
        <v>199</v>
      </c>
      <c r="J93" s="187"/>
      <c r="K93" s="187">
        <v>7</v>
      </c>
      <c r="L93" s="187">
        <f t="shared" si="42"/>
        <v>119</v>
      </c>
      <c r="M93" s="187"/>
      <c r="N93" s="187"/>
      <c r="O93" s="187">
        <f t="shared" si="46"/>
        <v>161</v>
      </c>
      <c r="P93" s="177"/>
      <c r="Q93" s="161"/>
      <c r="R93" s="161"/>
      <c r="S93" s="161"/>
      <c r="T93" s="161"/>
      <c r="U93" s="161"/>
      <c r="V93" s="161"/>
      <c r="W93" s="161"/>
      <c r="X93" s="161"/>
      <c r="Y93" s="169"/>
      <c r="Z93" s="117">
        <v>33</v>
      </c>
      <c r="AA93" s="117">
        <v>41</v>
      </c>
      <c r="AB93" s="117">
        <v>36</v>
      </c>
      <c r="AC93" s="117">
        <v>3</v>
      </c>
    </row>
    <row r="94" spans="1:29" ht="21" customHeight="1">
      <c r="A94" s="422" t="s">
        <v>299</v>
      </c>
      <c r="B94" s="422">
        <v>26</v>
      </c>
      <c r="C94" s="456">
        <v>27</v>
      </c>
      <c r="D94" s="423">
        <v>15</v>
      </c>
      <c r="E94" s="424"/>
      <c r="F94" s="424"/>
      <c r="G94" s="638"/>
      <c r="H94" s="424"/>
      <c r="I94" s="431">
        <f t="shared" si="47"/>
        <v>68</v>
      </c>
      <c r="J94" s="187"/>
      <c r="K94" s="187">
        <v>8</v>
      </c>
      <c r="L94" s="187">
        <f t="shared" si="42"/>
        <v>15</v>
      </c>
      <c r="M94" s="187"/>
      <c r="N94" s="187"/>
      <c r="O94" s="187">
        <f t="shared" si="46"/>
        <v>42</v>
      </c>
      <c r="P94" s="177" t="s">
        <v>295</v>
      </c>
      <c r="Q94" s="161"/>
      <c r="R94" s="161"/>
      <c r="S94" s="161"/>
      <c r="T94" s="161"/>
      <c r="U94" s="161"/>
      <c r="V94" s="161"/>
      <c r="W94" s="161"/>
      <c r="X94" s="161"/>
      <c r="Y94" s="169"/>
      <c r="Z94" s="117">
        <v>22</v>
      </c>
      <c r="AA94" s="117">
        <v>30</v>
      </c>
      <c r="AB94" s="117">
        <v>9</v>
      </c>
      <c r="AC94" s="117"/>
    </row>
    <row r="95" spans="1:29" ht="21" customHeight="1">
      <c r="A95" s="422" t="s">
        <v>168</v>
      </c>
      <c r="B95" s="422">
        <v>75</v>
      </c>
      <c r="C95" s="456">
        <v>64</v>
      </c>
      <c r="D95" s="423">
        <v>64</v>
      </c>
      <c r="E95" s="424">
        <v>69</v>
      </c>
      <c r="F95" s="424">
        <v>6</v>
      </c>
      <c r="G95" s="424"/>
      <c r="H95" s="424"/>
      <c r="I95" s="431">
        <f t="shared" si="47"/>
        <v>278</v>
      </c>
      <c r="J95" s="187"/>
      <c r="K95" s="187">
        <v>9</v>
      </c>
      <c r="L95" s="187">
        <f t="shared" si="42"/>
        <v>139</v>
      </c>
      <c r="M95" s="187"/>
      <c r="N95" s="187"/>
      <c r="O95" s="187">
        <f t="shared" si="46"/>
        <v>203</v>
      </c>
      <c r="P95" s="177"/>
      <c r="Q95" s="161"/>
      <c r="R95" s="161"/>
      <c r="S95" s="161"/>
      <c r="T95" s="161"/>
      <c r="U95" s="161"/>
      <c r="V95" s="161"/>
      <c r="W95" s="161"/>
      <c r="X95" s="161"/>
      <c r="Y95" s="169">
        <v>82</v>
      </c>
      <c r="Z95" s="117"/>
      <c r="AA95" s="117"/>
      <c r="AB95" s="117"/>
      <c r="AC95" s="117"/>
    </row>
    <row r="96" spans="1:29" ht="21" customHeight="1">
      <c r="A96" s="422" t="s">
        <v>275</v>
      </c>
      <c r="B96" s="422">
        <v>39</v>
      </c>
      <c r="C96" s="456">
        <v>36</v>
      </c>
      <c r="D96" s="423">
        <v>45</v>
      </c>
      <c r="E96" s="424"/>
      <c r="F96" s="424"/>
      <c r="G96" s="424"/>
      <c r="H96" s="424"/>
      <c r="I96" s="431">
        <f t="shared" si="47"/>
        <v>120</v>
      </c>
      <c r="J96" s="187"/>
      <c r="K96" s="187">
        <v>9</v>
      </c>
      <c r="L96" s="187">
        <f t="shared" si="42"/>
        <v>45</v>
      </c>
      <c r="M96" s="187"/>
      <c r="N96" s="187"/>
      <c r="O96" s="187">
        <f t="shared" si="46"/>
        <v>81</v>
      </c>
      <c r="P96" s="177"/>
      <c r="Q96" s="161"/>
      <c r="R96" s="161"/>
      <c r="S96" s="161"/>
      <c r="T96" s="161"/>
      <c r="U96" s="161"/>
      <c r="V96" s="161"/>
      <c r="W96" s="161"/>
      <c r="X96" s="161"/>
      <c r="Y96" s="169">
        <v>82</v>
      </c>
      <c r="Z96" s="117"/>
      <c r="AA96" s="117"/>
      <c r="AB96" s="117"/>
      <c r="AC96" s="117"/>
    </row>
    <row r="97" spans="1:30" ht="21" customHeight="1">
      <c r="A97" s="444" t="s">
        <v>25</v>
      </c>
      <c r="B97" s="444">
        <v>123</v>
      </c>
      <c r="C97" s="459">
        <v>74</v>
      </c>
      <c r="D97" s="445">
        <v>52</v>
      </c>
      <c r="E97" s="446">
        <v>41</v>
      </c>
      <c r="F97" s="446">
        <v>7</v>
      </c>
      <c r="G97" s="446"/>
      <c r="H97" s="446"/>
      <c r="I97" s="437">
        <f>SUM(B97:H97)</f>
        <v>297</v>
      </c>
      <c r="J97" s="187"/>
      <c r="K97" s="187">
        <v>10</v>
      </c>
      <c r="L97" s="187">
        <f t="shared" si="42"/>
        <v>100</v>
      </c>
      <c r="M97" s="187"/>
      <c r="N97" s="187"/>
      <c r="O97" s="187">
        <f t="shared" si="46"/>
        <v>174</v>
      </c>
      <c r="P97" s="177"/>
      <c r="Q97" s="161"/>
      <c r="R97" s="161"/>
      <c r="S97" s="161"/>
      <c r="T97" s="161"/>
      <c r="U97" s="161"/>
      <c r="V97" s="161"/>
      <c r="W97" s="161"/>
      <c r="X97" s="161"/>
      <c r="Y97" s="169">
        <v>97</v>
      </c>
      <c r="Z97" s="117">
        <v>49</v>
      </c>
      <c r="AA97" s="117">
        <v>43</v>
      </c>
      <c r="AB97" s="117">
        <v>52</v>
      </c>
      <c r="AC97" s="117">
        <v>5</v>
      </c>
    </row>
    <row r="98" spans="1:30" ht="21" customHeight="1">
      <c r="A98" s="557" t="s">
        <v>3</v>
      </c>
      <c r="B98" s="106">
        <f>SUM(B86:B97)</f>
        <v>724</v>
      </c>
      <c r="C98" s="106">
        <f>SUM(C86:C97)</f>
        <v>530</v>
      </c>
      <c r="D98" s="106">
        <f>SUM(D86:D97)</f>
        <v>501</v>
      </c>
      <c r="E98" s="106">
        <f t="shared" ref="E98:F98" si="48">SUM(E86:E97)</f>
        <v>441</v>
      </c>
      <c r="F98" s="106">
        <f t="shared" si="48"/>
        <v>59</v>
      </c>
      <c r="G98" s="106">
        <f>SUM(G86:G97)</f>
        <v>0</v>
      </c>
      <c r="H98" s="106">
        <f>SUM(H86:H97)</f>
        <v>0</v>
      </c>
      <c r="I98" s="106">
        <f>SUM(I86:I97)</f>
        <v>2255</v>
      </c>
      <c r="J98" s="160"/>
      <c r="K98" s="160"/>
      <c r="L98" s="160"/>
      <c r="M98" s="160"/>
      <c r="N98" s="160"/>
      <c r="O98" s="160"/>
      <c r="P98" s="176"/>
      <c r="Q98" s="160">
        <f>37+11+5+6</f>
        <v>59</v>
      </c>
      <c r="R98" s="160"/>
      <c r="S98" s="160"/>
      <c r="T98" s="160"/>
      <c r="U98" s="160"/>
      <c r="V98" s="160"/>
      <c r="W98" s="160"/>
      <c r="X98" s="160"/>
      <c r="Y98" s="169">
        <f>SUM(Y86:Y97)</f>
        <v>674</v>
      </c>
      <c r="Z98" s="117">
        <f>SUM(Z86:Z97)</f>
        <v>360</v>
      </c>
      <c r="AA98" s="117">
        <f>SUM(AA86:AA97)</f>
        <v>431</v>
      </c>
      <c r="AB98" s="117">
        <f>SUM(AB86:AB97)</f>
        <v>301</v>
      </c>
      <c r="AC98" s="117">
        <f>SUM(AC86:AC97)</f>
        <v>51</v>
      </c>
    </row>
    <row r="99" spans="1:30" ht="21" customHeight="1">
      <c r="A99" s="101" t="s">
        <v>26</v>
      </c>
      <c r="B99" s="110">
        <f t="shared" ref="B99" si="49">SUM(B112,B117,B121)</f>
        <v>905</v>
      </c>
      <c r="C99" s="110">
        <f t="shared" ref="C99:H99" si="50">SUM(C112,C117,C121)</f>
        <v>734</v>
      </c>
      <c r="D99" s="110">
        <f t="shared" si="50"/>
        <v>597</v>
      </c>
      <c r="E99" s="110">
        <f t="shared" si="50"/>
        <v>463</v>
      </c>
      <c r="F99" s="110">
        <f t="shared" si="50"/>
        <v>42</v>
      </c>
      <c r="G99" s="110">
        <f t="shared" ref="G99" si="51">SUM(G112,G117,G121)</f>
        <v>0</v>
      </c>
      <c r="H99" s="110">
        <f t="shared" si="50"/>
        <v>0</v>
      </c>
      <c r="I99" s="110">
        <f>SUM(I112,I117,I121)</f>
        <v>2741</v>
      </c>
      <c r="J99" s="162">
        <f>I99-4</f>
        <v>2737</v>
      </c>
      <c r="K99" s="162"/>
      <c r="L99" s="162"/>
      <c r="M99" s="162">
        <f>1981-2</f>
        <v>1979</v>
      </c>
      <c r="N99" s="162"/>
      <c r="O99" s="162"/>
      <c r="P99" s="548">
        <v>2215</v>
      </c>
      <c r="Q99" s="162"/>
      <c r="R99" s="162"/>
      <c r="S99" s="162"/>
      <c r="T99" s="162"/>
      <c r="U99" s="162"/>
      <c r="V99" s="162"/>
      <c r="W99" s="162"/>
      <c r="X99" s="162"/>
      <c r="AA99" s="117"/>
    </row>
    <row r="100" spans="1:30" ht="21" customHeight="1">
      <c r="A100" s="426" t="s">
        <v>239</v>
      </c>
      <c r="B100" s="426">
        <v>48</v>
      </c>
      <c r="C100" s="426">
        <v>33</v>
      </c>
      <c r="D100" s="427">
        <v>35</v>
      </c>
      <c r="E100" s="428">
        <v>29</v>
      </c>
      <c r="F100" s="428"/>
      <c r="G100" s="428"/>
      <c r="H100" s="428"/>
      <c r="I100" s="434">
        <f>SUM(B100:H100)</f>
        <v>145</v>
      </c>
      <c r="J100" s="187"/>
      <c r="K100" s="187"/>
      <c r="L100" s="187">
        <f t="shared" ref="L100:L110" si="52">SUM(D100:H100)</f>
        <v>64</v>
      </c>
      <c r="M100" s="187"/>
      <c r="N100" s="187"/>
      <c r="O100" s="187">
        <f t="shared" ref="O100:O110" si="53">C100+D100+E100+F100+G100</f>
        <v>97</v>
      </c>
      <c r="P100" s="177"/>
      <c r="Q100" s="161"/>
      <c r="R100" s="161"/>
      <c r="S100" s="161"/>
      <c r="T100" s="161"/>
      <c r="U100" s="161"/>
      <c r="V100" s="161"/>
      <c r="W100" s="161"/>
      <c r="X100" s="161"/>
      <c r="Y100" s="169">
        <v>47</v>
      </c>
      <c r="Z100" s="117">
        <v>23</v>
      </c>
      <c r="AA100" s="117">
        <v>27</v>
      </c>
      <c r="AB100" s="117">
        <v>17</v>
      </c>
      <c r="AC100" s="117"/>
    </row>
    <row r="101" spans="1:30" ht="21" customHeight="1">
      <c r="A101" s="426" t="s">
        <v>79</v>
      </c>
      <c r="B101" s="426">
        <v>40</v>
      </c>
      <c r="C101" s="426">
        <v>32</v>
      </c>
      <c r="D101" s="427">
        <v>25</v>
      </c>
      <c r="E101" s="428">
        <v>26</v>
      </c>
      <c r="F101" s="428">
        <v>1</v>
      </c>
      <c r="G101" s="428"/>
      <c r="H101" s="428"/>
      <c r="I101" s="431">
        <f t="shared" ref="I101:I109" si="54">SUM(B101:H101)</f>
        <v>124</v>
      </c>
      <c r="J101" s="187"/>
      <c r="K101" s="187"/>
      <c r="L101" s="187">
        <f t="shared" si="52"/>
        <v>52</v>
      </c>
      <c r="M101" s="187"/>
      <c r="N101" s="187"/>
      <c r="O101" s="187">
        <f t="shared" si="53"/>
        <v>84</v>
      </c>
      <c r="P101" s="177"/>
      <c r="Q101" s="161"/>
      <c r="R101" s="161"/>
      <c r="S101" s="161"/>
      <c r="T101" s="161"/>
      <c r="U101" s="161"/>
      <c r="V101" s="161"/>
      <c r="W101" s="161"/>
      <c r="X101" s="161"/>
      <c r="Y101" s="169">
        <v>47</v>
      </c>
      <c r="Z101" s="117">
        <v>23</v>
      </c>
      <c r="AA101" s="117">
        <v>27</v>
      </c>
      <c r="AB101" s="117">
        <v>17</v>
      </c>
      <c r="AC101" s="117"/>
    </row>
    <row r="102" spans="1:30" ht="21" customHeight="1">
      <c r="A102" s="422" t="s">
        <v>80</v>
      </c>
      <c r="B102" s="422">
        <v>193</v>
      </c>
      <c r="C102" s="422">
        <v>155</v>
      </c>
      <c r="D102" s="423">
        <v>193</v>
      </c>
      <c r="E102" s="424">
        <v>132</v>
      </c>
      <c r="F102" s="424">
        <v>13</v>
      </c>
      <c r="G102" s="424"/>
      <c r="H102" s="424"/>
      <c r="I102" s="431">
        <f t="shared" si="54"/>
        <v>686</v>
      </c>
      <c r="J102" s="187"/>
      <c r="K102" s="187"/>
      <c r="L102" s="187">
        <f t="shared" si="52"/>
        <v>338</v>
      </c>
      <c r="M102" s="187"/>
      <c r="N102" s="187"/>
      <c r="O102" s="187">
        <f t="shared" si="53"/>
        <v>493</v>
      </c>
      <c r="P102" s="188"/>
      <c r="Q102" s="161"/>
      <c r="R102" s="161"/>
      <c r="S102" s="161"/>
      <c r="T102" s="161"/>
      <c r="U102" s="161"/>
      <c r="V102" s="161"/>
      <c r="W102" s="161"/>
      <c r="X102" s="161"/>
      <c r="Y102" s="169">
        <v>228</v>
      </c>
      <c r="Z102" s="117">
        <v>110</v>
      </c>
      <c r="AA102" s="117">
        <v>123</v>
      </c>
      <c r="AB102" s="117">
        <v>93</v>
      </c>
      <c r="AC102" s="117"/>
    </row>
    <row r="103" spans="1:30" ht="21" customHeight="1">
      <c r="A103" s="422" t="s">
        <v>314</v>
      </c>
      <c r="B103" s="422">
        <v>60</v>
      </c>
      <c r="C103" s="422">
        <v>46</v>
      </c>
      <c r="D103" s="423">
        <v>33</v>
      </c>
      <c r="E103" s="424">
        <v>35</v>
      </c>
      <c r="F103" s="424">
        <v>4</v>
      </c>
      <c r="G103" s="424"/>
      <c r="H103" s="424"/>
      <c r="I103" s="431">
        <f t="shared" si="54"/>
        <v>178</v>
      </c>
      <c r="J103" s="187"/>
      <c r="K103" s="187"/>
      <c r="L103" s="187">
        <f t="shared" si="52"/>
        <v>72</v>
      </c>
      <c r="M103" s="187"/>
      <c r="N103" s="187"/>
      <c r="O103" s="187">
        <f t="shared" si="53"/>
        <v>118</v>
      </c>
      <c r="P103" s="188"/>
      <c r="Q103" s="161"/>
      <c r="R103" s="161"/>
      <c r="S103" s="161"/>
      <c r="T103" s="161"/>
      <c r="U103" s="161"/>
      <c r="V103" s="161"/>
      <c r="W103" s="161"/>
      <c r="X103" s="161"/>
      <c r="Y103" s="169">
        <v>55</v>
      </c>
      <c r="Z103" s="117">
        <v>51</v>
      </c>
      <c r="AA103" s="117">
        <v>30</v>
      </c>
      <c r="AB103" s="117">
        <v>22</v>
      </c>
      <c r="AC103" s="117">
        <v>10</v>
      </c>
    </row>
    <row r="104" spans="1:30" ht="21" customHeight="1">
      <c r="A104" s="422" t="s">
        <v>306</v>
      </c>
      <c r="B104" s="422">
        <v>39</v>
      </c>
      <c r="C104" s="422">
        <v>35</v>
      </c>
      <c r="D104" s="423"/>
      <c r="E104" s="424"/>
      <c r="F104" s="424"/>
      <c r="G104" s="424"/>
      <c r="H104" s="424"/>
      <c r="I104" s="431">
        <f t="shared" si="54"/>
        <v>74</v>
      </c>
      <c r="J104" s="187"/>
      <c r="K104" s="187"/>
      <c r="L104" s="187">
        <f t="shared" ref="L104" si="55">SUM(D104:H104)</f>
        <v>0</v>
      </c>
      <c r="M104" s="187"/>
      <c r="N104" s="187"/>
      <c r="O104" s="187">
        <f t="shared" si="53"/>
        <v>35</v>
      </c>
      <c r="P104" s="177"/>
      <c r="Q104" s="161"/>
      <c r="R104" s="161"/>
      <c r="S104" s="161"/>
      <c r="T104" s="161"/>
      <c r="U104" s="161"/>
      <c r="V104" s="161"/>
      <c r="W104" s="161"/>
      <c r="X104" s="161"/>
      <c r="Y104" s="169">
        <v>55</v>
      </c>
      <c r="Z104" s="117">
        <v>51</v>
      </c>
      <c r="AA104" s="117">
        <v>30</v>
      </c>
      <c r="AB104" s="117">
        <v>22</v>
      </c>
      <c r="AC104" s="117">
        <v>10</v>
      </c>
    </row>
    <row r="105" spans="1:30" ht="21" customHeight="1">
      <c r="A105" s="422" t="s">
        <v>31</v>
      </c>
      <c r="B105" s="422">
        <v>82</v>
      </c>
      <c r="C105" s="422">
        <v>70</v>
      </c>
      <c r="D105" s="423">
        <v>44</v>
      </c>
      <c r="E105" s="424">
        <v>53</v>
      </c>
      <c r="F105" s="424">
        <v>5</v>
      </c>
      <c r="G105" s="424"/>
      <c r="H105" s="424"/>
      <c r="I105" s="431">
        <f t="shared" si="54"/>
        <v>254</v>
      </c>
      <c r="J105" s="187"/>
      <c r="K105" s="187"/>
      <c r="L105" s="187">
        <f t="shared" si="52"/>
        <v>102</v>
      </c>
      <c r="M105" s="187"/>
      <c r="N105" s="187"/>
      <c r="O105" s="187">
        <f>C105+D105+E105+F105+G105</f>
        <v>172</v>
      </c>
      <c r="P105" s="188"/>
      <c r="Q105" s="161"/>
      <c r="R105" s="161"/>
      <c r="S105" s="161"/>
      <c r="T105" s="161"/>
      <c r="U105" s="161"/>
      <c r="V105" s="161"/>
      <c r="W105" s="161"/>
      <c r="X105" s="161"/>
      <c r="Y105" s="169">
        <v>91</v>
      </c>
      <c r="Z105" s="117">
        <v>72</v>
      </c>
      <c r="AA105" s="117">
        <v>42</v>
      </c>
      <c r="AB105" s="117">
        <v>50</v>
      </c>
      <c r="AC105" s="117">
        <v>7</v>
      </c>
    </row>
    <row r="106" spans="1:30" ht="21" customHeight="1">
      <c r="A106" s="422" t="s">
        <v>32</v>
      </c>
      <c r="B106" s="100"/>
      <c r="C106" s="100"/>
      <c r="D106" s="423">
        <v>41</v>
      </c>
      <c r="E106" s="424">
        <v>56</v>
      </c>
      <c r="F106" s="424">
        <v>1</v>
      </c>
      <c r="G106" s="424"/>
      <c r="H106" s="424"/>
      <c r="I106" s="431">
        <f t="shared" si="54"/>
        <v>98</v>
      </c>
      <c r="J106" s="161"/>
      <c r="K106" s="161"/>
      <c r="L106" s="161">
        <f t="shared" si="52"/>
        <v>98</v>
      </c>
      <c r="M106" s="161"/>
      <c r="N106" s="161"/>
      <c r="O106" s="161">
        <f t="shared" si="53"/>
        <v>98</v>
      </c>
      <c r="P106" s="177"/>
      <c r="Q106" s="161"/>
      <c r="R106" s="161"/>
      <c r="S106" s="161"/>
      <c r="T106" s="161"/>
      <c r="U106" s="161"/>
      <c r="V106" s="161"/>
      <c r="W106" s="161"/>
      <c r="X106" s="161"/>
      <c r="Y106" s="169">
        <v>48</v>
      </c>
      <c r="Z106" s="117">
        <v>41</v>
      </c>
      <c r="AA106" s="117">
        <v>24</v>
      </c>
      <c r="AB106" s="117">
        <v>21</v>
      </c>
      <c r="AC106" s="117">
        <v>13</v>
      </c>
    </row>
    <row r="107" spans="1:30" ht="21" customHeight="1">
      <c r="A107" s="422" t="s">
        <v>33</v>
      </c>
      <c r="B107" s="422"/>
      <c r="C107" s="422">
        <v>81</v>
      </c>
      <c r="D107" s="423">
        <v>28</v>
      </c>
      <c r="E107" s="424">
        <v>30</v>
      </c>
      <c r="F107" s="424">
        <v>10</v>
      </c>
      <c r="G107" s="424"/>
      <c r="H107" s="424"/>
      <c r="I107" s="431">
        <f t="shared" si="54"/>
        <v>149</v>
      </c>
      <c r="J107" s="187"/>
      <c r="K107" s="187"/>
      <c r="L107" s="187">
        <f t="shared" si="52"/>
        <v>68</v>
      </c>
      <c r="M107" s="187"/>
      <c r="N107" s="187"/>
      <c r="O107" s="187">
        <f t="shared" si="53"/>
        <v>149</v>
      </c>
      <c r="P107" s="177">
        <f>I107+I114</f>
        <v>149</v>
      </c>
      <c r="Q107" s="161">
        <f>I107+I114</f>
        <v>149</v>
      </c>
      <c r="R107" s="161">
        <f>C107+C114</f>
        <v>81</v>
      </c>
      <c r="S107" s="161">
        <f>D107+D114</f>
        <v>28</v>
      </c>
      <c r="T107" s="161">
        <f>O107+O114</f>
        <v>149</v>
      </c>
      <c r="U107" s="161"/>
      <c r="V107" s="161"/>
      <c r="W107" s="161"/>
      <c r="X107" s="161"/>
      <c r="Y107" s="169">
        <v>49</v>
      </c>
      <c r="Z107" s="117">
        <v>56</v>
      </c>
      <c r="AA107" s="117">
        <v>36</v>
      </c>
      <c r="AB107" s="117">
        <v>60</v>
      </c>
      <c r="AC107" s="117">
        <v>7</v>
      </c>
      <c r="AD107" s="117"/>
    </row>
    <row r="108" spans="1:30" ht="21" customHeight="1">
      <c r="A108" s="422" t="s">
        <v>133</v>
      </c>
      <c r="B108" s="422">
        <v>57</v>
      </c>
      <c r="C108" s="422">
        <v>43</v>
      </c>
      <c r="D108" s="447">
        <v>49</v>
      </c>
      <c r="E108" s="424">
        <v>31</v>
      </c>
      <c r="F108" s="424"/>
      <c r="G108" s="424"/>
      <c r="H108" s="424"/>
      <c r="I108" s="431">
        <f t="shared" si="54"/>
        <v>180</v>
      </c>
      <c r="J108" s="187"/>
      <c r="K108" s="187"/>
      <c r="L108" s="187">
        <f t="shared" si="52"/>
        <v>80</v>
      </c>
      <c r="M108" s="187">
        <f>83+38</f>
        <v>121</v>
      </c>
      <c r="N108" s="187"/>
      <c r="O108" s="187">
        <f t="shared" si="53"/>
        <v>123</v>
      </c>
      <c r="P108" s="177"/>
      <c r="Q108" s="161"/>
      <c r="R108" s="161"/>
      <c r="S108" s="161"/>
      <c r="T108" s="161"/>
      <c r="U108" s="161"/>
      <c r="V108" s="161"/>
      <c r="W108" s="161"/>
      <c r="X108" s="161"/>
      <c r="Y108" s="169"/>
      <c r="Z108" s="117">
        <v>31</v>
      </c>
      <c r="AA108" s="117"/>
      <c r="AB108" s="117"/>
      <c r="AC108" s="117"/>
      <c r="AD108" s="117"/>
    </row>
    <row r="109" spans="1:30" ht="21" customHeight="1">
      <c r="A109" s="422" t="s">
        <v>240</v>
      </c>
      <c r="B109" s="422">
        <v>143</v>
      </c>
      <c r="C109" s="422">
        <v>134</v>
      </c>
      <c r="D109" s="423">
        <v>82</v>
      </c>
      <c r="E109" s="424">
        <f>36+1</f>
        <v>37</v>
      </c>
      <c r="F109" s="424">
        <v>6</v>
      </c>
      <c r="G109" s="424"/>
      <c r="H109" s="424"/>
      <c r="I109" s="431">
        <f t="shared" si="54"/>
        <v>402</v>
      </c>
      <c r="J109" s="187"/>
      <c r="K109" s="187"/>
      <c r="L109" s="187">
        <f t="shared" si="52"/>
        <v>125</v>
      </c>
      <c r="M109" s="187"/>
      <c r="N109" s="187"/>
      <c r="O109" s="187">
        <f t="shared" si="53"/>
        <v>259</v>
      </c>
      <c r="P109" s="177">
        <f>I109+I113</f>
        <v>402</v>
      </c>
      <c r="Q109" s="161">
        <f>C109+C113</f>
        <v>134</v>
      </c>
      <c r="R109" s="161">
        <f>D109+D113</f>
        <v>82</v>
      </c>
      <c r="S109" s="161"/>
      <c r="T109" s="161">
        <f>O109+O113</f>
        <v>259</v>
      </c>
      <c r="U109" s="161"/>
      <c r="V109" s="161"/>
      <c r="W109" s="161"/>
      <c r="X109" s="161"/>
      <c r="Y109" s="169">
        <v>116</v>
      </c>
      <c r="Z109" s="117">
        <v>51</v>
      </c>
      <c r="AA109" s="117"/>
      <c r="AB109" s="117"/>
      <c r="AC109" s="117"/>
      <c r="AD109" s="117"/>
    </row>
    <row r="110" spans="1:30" ht="21" customHeight="1">
      <c r="A110" s="422" t="s">
        <v>34</v>
      </c>
      <c r="B110" s="422">
        <v>128</v>
      </c>
      <c r="C110" s="422">
        <v>105</v>
      </c>
      <c r="D110" s="423">
        <v>67</v>
      </c>
      <c r="E110" s="424">
        <f>32+2</f>
        <v>34</v>
      </c>
      <c r="F110" s="424">
        <v>2</v>
      </c>
      <c r="G110" s="424"/>
      <c r="H110" s="424"/>
      <c r="I110" s="437">
        <f>SUM(B110:H110)</f>
        <v>336</v>
      </c>
      <c r="J110" s="187"/>
      <c r="K110" s="187"/>
      <c r="L110" s="187">
        <f t="shared" si="52"/>
        <v>103</v>
      </c>
      <c r="M110" s="187"/>
      <c r="N110" s="187"/>
      <c r="O110" s="187">
        <f t="shared" si="53"/>
        <v>208</v>
      </c>
      <c r="P110" s="177">
        <f>C109+C113</f>
        <v>134</v>
      </c>
      <c r="Q110" s="161">
        <f>D109+D113</f>
        <v>82</v>
      </c>
      <c r="R110" s="161"/>
      <c r="S110" s="161">
        <f>O110+O116</f>
        <v>208</v>
      </c>
      <c r="T110" s="161"/>
      <c r="U110" s="161"/>
      <c r="V110" s="161"/>
      <c r="W110" s="161"/>
      <c r="X110" s="161"/>
      <c r="Y110" s="169">
        <v>42</v>
      </c>
      <c r="Z110" s="117">
        <v>40</v>
      </c>
      <c r="AA110" s="117">
        <v>77</v>
      </c>
      <c r="AB110" s="117">
        <v>61</v>
      </c>
      <c r="AC110" s="117">
        <v>5</v>
      </c>
      <c r="AD110" s="117"/>
    </row>
    <row r="111" spans="1:30" ht="21" customHeight="1">
      <c r="A111" s="441" t="s">
        <v>344</v>
      </c>
      <c r="B111" s="441">
        <v>115</v>
      </c>
      <c r="C111" s="441"/>
      <c r="D111" s="442"/>
      <c r="E111" s="443"/>
      <c r="F111" s="443"/>
      <c r="G111" s="443"/>
      <c r="H111" s="443"/>
      <c r="I111" s="437">
        <f>SUM(B111:H111)</f>
        <v>115</v>
      </c>
      <c r="J111" s="187"/>
      <c r="K111" s="187"/>
      <c r="L111" s="187"/>
      <c r="M111" s="187"/>
      <c r="N111" s="187"/>
      <c r="O111" s="187"/>
      <c r="P111" s="177"/>
      <c r="Q111" s="161"/>
      <c r="R111" s="161"/>
      <c r="S111" s="161"/>
      <c r="T111" s="161"/>
      <c r="U111" s="161"/>
      <c r="V111" s="161"/>
      <c r="W111" s="161"/>
      <c r="X111" s="161"/>
      <c r="Y111" s="169"/>
      <c r="Z111" s="117"/>
      <c r="AA111" s="117"/>
      <c r="AB111" s="117"/>
      <c r="AC111" s="117"/>
      <c r="AD111" s="117"/>
    </row>
    <row r="112" spans="1:30" ht="21" customHeight="1">
      <c r="A112" s="118" t="s">
        <v>161</v>
      </c>
      <c r="B112" s="110">
        <f t="shared" ref="B112:G112" si="56">SUM(B100:B111)</f>
        <v>905</v>
      </c>
      <c r="C112" s="110">
        <f t="shared" si="56"/>
        <v>734</v>
      </c>
      <c r="D112" s="110">
        <f t="shared" si="56"/>
        <v>597</v>
      </c>
      <c r="E112" s="110">
        <f t="shared" si="56"/>
        <v>463</v>
      </c>
      <c r="F112" s="110">
        <f t="shared" si="56"/>
        <v>42</v>
      </c>
      <c r="G112" s="110">
        <f t="shared" si="56"/>
        <v>0</v>
      </c>
      <c r="H112" s="110">
        <f>SUM(H100:H110)</f>
        <v>0</v>
      </c>
      <c r="I112" s="110">
        <f>SUM(I100:I111)</f>
        <v>2741</v>
      </c>
      <c r="J112" s="162"/>
      <c r="K112" s="162"/>
      <c r="L112" s="162"/>
      <c r="M112" s="162"/>
      <c r="N112" s="162"/>
      <c r="O112" s="162"/>
      <c r="P112" s="178">
        <f>D109+D113</f>
        <v>82</v>
      </c>
      <c r="Q112" s="162"/>
      <c r="R112" s="162">
        <f>D110+D116</f>
        <v>67</v>
      </c>
      <c r="S112" s="162"/>
      <c r="T112" s="162"/>
      <c r="U112" s="162"/>
      <c r="V112" s="162"/>
      <c r="W112" s="162"/>
      <c r="X112" s="162"/>
      <c r="Y112" s="117">
        <f>SUM(Y100:Y110)</f>
        <v>778</v>
      </c>
      <c r="Z112" s="117">
        <f>SUM(Z100:Z110)</f>
        <v>549</v>
      </c>
      <c r="AA112" s="117">
        <f>SUM(AA100:AA110)</f>
        <v>416</v>
      </c>
      <c r="AB112" s="117">
        <f>SUM(AB100:AB110)</f>
        <v>363</v>
      </c>
      <c r="AC112" s="117">
        <f>SUM(AC100:AC110)</f>
        <v>52</v>
      </c>
    </row>
    <row r="113" spans="1:29" ht="21" customHeight="1">
      <c r="A113" s="422" t="s">
        <v>154</v>
      </c>
      <c r="B113" s="100"/>
      <c r="C113" s="100"/>
      <c r="D113" s="124"/>
      <c r="E113" s="108"/>
      <c r="F113" s="108"/>
      <c r="G113" s="108"/>
      <c r="H113" s="108"/>
      <c r="I113" s="108">
        <f>SUM(C113:H113)</f>
        <v>0</v>
      </c>
      <c r="J113" s="187"/>
      <c r="K113" s="187"/>
      <c r="L113" s="187">
        <f>SUM(D113:H113)</f>
        <v>0</v>
      </c>
      <c r="M113" s="187"/>
      <c r="N113" s="187"/>
      <c r="O113" s="187">
        <f>C113+D113+E113+F113+G113</f>
        <v>0</v>
      </c>
      <c r="P113" s="488">
        <f>I110+I116</f>
        <v>336</v>
      </c>
      <c r="Q113" s="161"/>
      <c r="R113" s="161"/>
      <c r="S113" s="161"/>
      <c r="T113" s="161"/>
      <c r="U113" s="161"/>
      <c r="V113" s="161"/>
      <c r="W113" s="161"/>
      <c r="X113" s="161"/>
      <c r="Y113" s="169">
        <v>59</v>
      </c>
      <c r="Z113" s="117">
        <v>51</v>
      </c>
      <c r="AA113" s="117"/>
      <c r="AB113" s="117"/>
      <c r="AC113" s="117"/>
    </row>
    <row r="114" spans="1:29" ht="21" customHeight="1">
      <c r="A114" s="422" t="s">
        <v>28</v>
      </c>
      <c r="B114" s="100"/>
      <c r="C114" s="100"/>
      <c r="D114" s="124"/>
      <c r="E114" s="108"/>
      <c r="F114" s="108"/>
      <c r="G114" s="108"/>
      <c r="H114" s="108"/>
      <c r="I114" s="252">
        <f>SUM(B114:H114)</f>
        <v>0</v>
      </c>
      <c r="J114" s="187"/>
      <c r="K114" s="187"/>
      <c r="L114" s="187">
        <f>SUM(D114:H114)</f>
        <v>0</v>
      </c>
      <c r="M114" s="187"/>
      <c r="N114" s="187"/>
      <c r="O114" s="187">
        <f>C114+D114+E114+F114+G114</f>
        <v>0</v>
      </c>
      <c r="P114" s="177">
        <f>I109+I113</f>
        <v>402</v>
      </c>
      <c r="Q114" s="161">
        <f>57+68</f>
        <v>125</v>
      </c>
      <c r="R114" s="161"/>
      <c r="S114" s="161"/>
      <c r="T114" s="161"/>
      <c r="U114" s="161"/>
      <c r="V114" s="161"/>
      <c r="W114" s="161"/>
      <c r="X114" s="161"/>
      <c r="Y114" s="169">
        <v>82</v>
      </c>
      <c r="Z114" s="117">
        <v>90</v>
      </c>
      <c r="AA114" s="117">
        <v>7</v>
      </c>
      <c r="AB114" s="117"/>
      <c r="AC114" s="117">
        <v>1</v>
      </c>
    </row>
    <row r="115" spans="1:29" ht="21" hidden="1" customHeight="1">
      <c r="A115" s="100" t="s">
        <v>241</v>
      </c>
      <c r="B115" s="100"/>
      <c r="C115" s="100"/>
      <c r="D115" s="124"/>
      <c r="E115" s="108"/>
      <c r="F115" s="108"/>
      <c r="G115" s="108"/>
      <c r="H115" s="108"/>
      <c r="I115" s="108">
        <f>SUM(D115:H115)</f>
        <v>0</v>
      </c>
      <c r="J115" s="161"/>
      <c r="K115" s="161"/>
      <c r="L115" s="161">
        <f>SUM(D115:H115)</f>
        <v>0</v>
      </c>
      <c r="M115" s="161"/>
      <c r="N115" s="161"/>
      <c r="O115" s="161"/>
      <c r="P115" s="177"/>
      <c r="Q115" s="161"/>
      <c r="R115" s="161"/>
      <c r="S115" s="161"/>
      <c r="T115" s="161"/>
      <c r="U115" s="161"/>
      <c r="V115" s="161"/>
      <c r="W115" s="161"/>
      <c r="X115" s="161"/>
      <c r="Y115" s="169">
        <v>82</v>
      </c>
      <c r="Z115" s="117">
        <v>90</v>
      </c>
      <c r="AA115" s="117">
        <v>7</v>
      </c>
      <c r="AB115" s="117"/>
      <c r="AC115" s="117">
        <v>1</v>
      </c>
    </row>
    <row r="116" spans="1:29" ht="21" customHeight="1">
      <c r="A116" s="444" t="s">
        <v>35</v>
      </c>
      <c r="B116" s="103"/>
      <c r="C116" s="103"/>
      <c r="D116" s="125"/>
      <c r="E116" s="111"/>
      <c r="F116" s="111"/>
      <c r="G116" s="111"/>
      <c r="H116" s="111"/>
      <c r="I116" s="254">
        <f>SUM(B116:H116)</f>
        <v>0</v>
      </c>
      <c r="J116" s="187"/>
      <c r="K116" s="187"/>
      <c r="L116" s="187">
        <f>SUM(D116:H116)</f>
        <v>0</v>
      </c>
      <c r="M116" s="187"/>
      <c r="N116" s="187"/>
      <c r="O116" s="187">
        <f>C116+D116+E116+F116+G116</f>
        <v>0</v>
      </c>
      <c r="P116" s="188">
        <f>I116+I110</f>
        <v>336</v>
      </c>
      <c r="Q116" s="187">
        <f>C110+C116</f>
        <v>105</v>
      </c>
      <c r="R116" s="187">
        <f>D110+D116</f>
        <v>67</v>
      </c>
      <c r="S116" s="161"/>
      <c r="T116" s="161"/>
      <c r="U116" s="161"/>
      <c r="V116" s="161"/>
      <c r="W116" s="161"/>
      <c r="X116" s="161"/>
      <c r="Y116" s="169">
        <v>57</v>
      </c>
      <c r="Z116" s="117">
        <v>68</v>
      </c>
      <c r="AA116" s="117">
        <v>35</v>
      </c>
      <c r="AB116" s="117"/>
      <c r="AC116" s="117"/>
    </row>
    <row r="117" spans="1:29" ht="21" customHeight="1">
      <c r="A117" s="95" t="s">
        <v>162</v>
      </c>
      <c r="B117" s="106">
        <f t="shared" ref="B117:I117" si="57">SUM(B113:B116)</f>
        <v>0</v>
      </c>
      <c r="C117" s="106">
        <f t="shared" si="57"/>
        <v>0</v>
      </c>
      <c r="D117" s="106">
        <f t="shared" si="57"/>
        <v>0</v>
      </c>
      <c r="E117" s="106">
        <f t="shared" si="57"/>
        <v>0</v>
      </c>
      <c r="F117" s="106">
        <f t="shared" si="57"/>
        <v>0</v>
      </c>
      <c r="G117" s="106">
        <f t="shared" si="57"/>
        <v>0</v>
      </c>
      <c r="H117" s="106">
        <f t="shared" si="57"/>
        <v>0</v>
      </c>
      <c r="I117" s="106">
        <f t="shared" si="57"/>
        <v>0</v>
      </c>
      <c r="J117" s="160"/>
      <c r="K117" s="160"/>
      <c r="L117" s="160"/>
      <c r="M117" s="160"/>
      <c r="N117" s="160"/>
      <c r="O117" s="160"/>
      <c r="P117" s="176">
        <f>D112+D117</f>
        <v>597</v>
      </c>
      <c r="Q117" s="160">
        <f>34+46</f>
        <v>80</v>
      </c>
      <c r="R117" s="160"/>
      <c r="S117" s="160"/>
      <c r="T117" s="160"/>
      <c r="U117" s="160"/>
      <c r="V117" s="160"/>
      <c r="W117" s="160"/>
      <c r="X117" s="160"/>
      <c r="Y117" s="170">
        <f>SUM(Y113:Y116)</f>
        <v>280</v>
      </c>
      <c r="Z117" s="117">
        <f>SUM(Z113:Z116)</f>
        <v>299</v>
      </c>
      <c r="AA117" s="117">
        <f>SUM(AA113:AA116)</f>
        <v>49</v>
      </c>
      <c r="AC117" s="117">
        <f>SUM(AC113:AC116)</f>
        <v>2</v>
      </c>
    </row>
    <row r="118" spans="1:29" ht="21" customHeight="1">
      <c r="A118" s="99" t="s">
        <v>48</v>
      </c>
      <c r="B118" s="99"/>
      <c r="C118" s="99"/>
      <c r="D118" s="123"/>
      <c r="E118" s="109"/>
      <c r="F118" s="109"/>
      <c r="G118" s="109"/>
      <c r="H118" s="109"/>
      <c r="I118" s="109"/>
      <c r="J118" s="161"/>
      <c r="K118" s="161"/>
      <c r="L118" s="161"/>
      <c r="M118" s="161"/>
      <c r="N118" s="161"/>
      <c r="O118" s="161"/>
      <c r="P118" s="177">
        <f>C112+C117</f>
        <v>734</v>
      </c>
      <c r="Q118" s="161"/>
      <c r="R118" s="161"/>
      <c r="S118" s="161"/>
      <c r="T118" s="161"/>
      <c r="U118" s="161"/>
      <c r="V118" s="161"/>
      <c r="W118" s="161"/>
      <c r="X118" s="161"/>
      <c r="Y118" s="261"/>
    </row>
    <row r="119" spans="1:29" ht="21" customHeight="1">
      <c r="A119" s="100" t="s">
        <v>108</v>
      </c>
      <c r="B119" s="100"/>
      <c r="C119" s="100"/>
      <c r="D119" s="124"/>
      <c r="E119" s="108"/>
      <c r="F119" s="108"/>
      <c r="G119" s="108"/>
      <c r="H119" s="108"/>
      <c r="I119" s="252">
        <f>SUM(B119:H119)</f>
        <v>0</v>
      </c>
      <c r="J119" s="161"/>
      <c r="K119" s="161"/>
      <c r="L119" s="161"/>
      <c r="M119" s="161"/>
      <c r="N119" s="161"/>
      <c r="O119" s="161"/>
      <c r="P119" s="177"/>
      <c r="Q119" s="161"/>
      <c r="R119" s="161"/>
      <c r="S119" s="161"/>
      <c r="T119" s="161"/>
      <c r="U119" s="161"/>
      <c r="V119" s="161"/>
      <c r="W119" s="161"/>
      <c r="X119" s="161"/>
    </row>
    <row r="120" spans="1:29" ht="21" customHeight="1">
      <c r="A120" s="103"/>
      <c r="B120" s="103"/>
      <c r="C120" s="103"/>
      <c r="D120" s="125"/>
      <c r="E120" s="111"/>
      <c r="F120" s="111"/>
      <c r="G120" s="111"/>
      <c r="H120" s="111"/>
      <c r="I120" s="111"/>
      <c r="J120" s="161"/>
      <c r="K120" s="161"/>
      <c r="L120" s="161"/>
      <c r="M120" s="161"/>
      <c r="N120" s="161"/>
      <c r="O120" s="161"/>
      <c r="P120" s="177"/>
      <c r="Q120" s="161"/>
      <c r="R120" s="161"/>
      <c r="S120" s="161"/>
      <c r="T120" s="161"/>
      <c r="U120" s="161"/>
      <c r="V120" s="161"/>
      <c r="W120" s="161"/>
      <c r="X120" s="161"/>
    </row>
    <row r="121" spans="1:29" ht="21" customHeight="1">
      <c r="A121" s="95" t="s">
        <v>3</v>
      </c>
      <c r="B121" s="106">
        <f t="shared" ref="B121:I121" si="58">SUM(B119:B120)</f>
        <v>0</v>
      </c>
      <c r="C121" s="106">
        <f t="shared" si="58"/>
        <v>0</v>
      </c>
      <c r="D121" s="106">
        <f t="shared" si="58"/>
        <v>0</v>
      </c>
      <c r="E121" s="106">
        <f t="shared" si="58"/>
        <v>0</v>
      </c>
      <c r="F121" s="106">
        <f t="shared" si="58"/>
        <v>0</v>
      </c>
      <c r="G121" s="106">
        <f t="shared" ref="G121" si="59">SUM(G119:G120)</f>
        <v>0</v>
      </c>
      <c r="H121" s="106">
        <f t="shared" si="58"/>
        <v>0</v>
      </c>
      <c r="I121" s="106">
        <f t="shared" si="58"/>
        <v>0</v>
      </c>
      <c r="J121" s="160"/>
      <c r="K121" s="160"/>
      <c r="L121" s="160"/>
      <c r="M121" s="160"/>
      <c r="N121" s="160"/>
      <c r="O121" s="160"/>
      <c r="P121" s="176"/>
      <c r="Q121" s="160"/>
      <c r="R121" s="160"/>
      <c r="S121" s="160"/>
      <c r="T121" s="160"/>
      <c r="U121" s="160"/>
      <c r="V121" s="160"/>
      <c r="W121" s="160"/>
      <c r="X121" s="160"/>
    </row>
    <row r="122" spans="1:29" ht="21" customHeight="1">
      <c r="A122" s="279" t="s">
        <v>36</v>
      </c>
      <c r="B122" s="280">
        <f t="shared" ref="B122:I122" si="60">SUM(B5,B30,B50,B74,B85,B99)</f>
        <v>3087</v>
      </c>
      <c r="C122" s="280">
        <f t="shared" si="60"/>
        <v>2503</v>
      </c>
      <c r="D122" s="280">
        <f t="shared" si="60"/>
        <v>2500</v>
      </c>
      <c r="E122" s="280">
        <f t="shared" si="60"/>
        <v>2237</v>
      </c>
      <c r="F122" s="280">
        <f t="shared" si="60"/>
        <v>746</v>
      </c>
      <c r="G122" s="280">
        <f t="shared" si="60"/>
        <v>4</v>
      </c>
      <c r="H122" s="280">
        <f t="shared" si="60"/>
        <v>0</v>
      </c>
      <c r="I122" s="280">
        <f t="shared" si="60"/>
        <v>11077</v>
      </c>
      <c r="J122" s="162"/>
      <c r="K122" s="162"/>
      <c r="L122" s="162"/>
      <c r="M122" s="162">
        <f>8241+2932+46</f>
        <v>11219</v>
      </c>
      <c r="N122" s="162"/>
      <c r="O122" s="162"/>
      <c r="P122" s="178"/>
      <c r="Q122" s="162"/>
      <c r="R122" s="162"/>
      <c r="S122" s="162"/>
      <c r="T122" s="162"/>
      <c r="U122" s="162"/>
      <c r="V122" s="162"/>
      <c r="W122" s="162"/>
      <c r="X122" s="162"/>
      <c r="AA122" s="117">
        <f>SUM(AA5:AA121)</f>
        <v>11395</v>
      </c>
    </row>
    <row r="123" spans="1:29" ht="21" hidden="1" customHeight="1">
      <c r="E123" s="112">
        <f>3685</f>
        <v>3685</v>
      </c>
      <c r="F123" s="112">
        <v>3141</v>
      </c>
      <c r="G123" s="112">
        <v>2290</v>
      </c>
      <c r="H123" s="112">
        <v>2290</v>
      </c>
    </row>
    <row r="124" spans="1:29" ht="21" hidden="1" customHeight="1">
      <c r="E124" s="112">
        <f>6+5</f>
        <v>11</v>
      </c>
      <c r="F124" s="112">
        <f>19+9+4</f>
        <v>32</v>
      </c>
      <c r="G124" s="112">
        <f>3+3+8</f>
        <v>14</v>
      </c>
      <c r="H124" s="112">
        <f>3+3+8</f>
        <v>14</v>
      </c>
    </row>
    <row r="125" spans="1:29" ht="21" hidden="1" customHeight="1">
      <c r="E125" s="112">
        <f>SUM(E123:E124)</f>
        <v>3696</v>
      </c>
      <c r="F125" s="112">
        <f>SUM(F123:F124)</f>
        <v>3173</v>
      </c>
      <c r="G125" s="112">
        <f>SUM(G123:G124)</f>
        <v>2304</v>
      </c>
      <c r="H125" s="112">
        <f>SUM(H123:H124)</f>
        <v>2304</v>
      </c>
      <c r="I125" s="112">
        <f>SUM(I123:I124)</f>
        <v>0</v>
      </c>
    </row>
    <row r="126" spans="1:29" ht="21" hidden="1" customHeight="1">
      <c r="E126" s="180" t="s">
        <v>132</v>
      </c>
      <c r="F126" s="180" t="s">
        <v>99</v>
      </c>
      <c r="G126" s="180" t="s">
        <v>84</v>
      </c>
      <c r="H126" s="180" t="s">
        <v>84</v>
      </c>
    </row>
    <row r="127" spans="1:29" ht="21" hidden="1" customHeight="1">
      <c r="A127" s="126" t="s">
        <v>66</v>
      </c>
      <c r="B127" s="126"/>
      <c r="C127" s="126"/>
      <c r="E127" s="112">
        <f>E122-(6+5)</f>
        <v>2226</v>
      </c>
    </row>
    <row r="128" spans="1:29" ht="21" hidden="1" customHeight="1">
      <c r="A128" s="126" t="s">
        <v>51</v>
      </c>
      <c r="B128" s="126"/>
      <c r="C128" s="126"/>
      <c r="E128" s="112">
        <f>E23+E49+E73</f>
        <v>0</v>
      </c>
      <c r="F128" s="112">
        <f>F23+F49+F73</f>
        <v>0</v>
      </c>
      <c r="G128" s="112">
        <f>G23+G49+G73</f>
        <v>2</v>
      </c>
      <c r="H128" s="112">
        <f>H23+H49+H73</f>
        <v>0</v>
      </c>
    </row>
    <row r="129" spans="1:17" ht="21" hidden="1" customHeight="1">
      <c r="A129" s="126" t="s">
        <v>134</v>
      </c>
      <c r="B129" s="126"/>
      <c r="C129" s="126"/>
      <c r="E129" s="112">
        <f>E29</f>
        <v>0</v>
      </c>
    </row>
    <row r="131" spans="1:17" s="112" customFormat="1" ht="21" customHeight="1">
      <c r="A131" s="837" t="s">
        <v>353</v>
      </c>
      <c r="B131" s="838"/>
      <c r="C131" s="838"/>
      <c r="D131" s="838"/>
      <c r="E131" s="596" t="s">
        <v>155</v>
      </c>
      <c r="F131" s="596" t="s">
        <v>156</v>
      </c>
      <c r="G131" s="596" t="s">
        <v>3</v>
      </c>
      <c r="H131" s="596" t="s">
        <v>3</v>
      </c>
      <c r="I131" s="597"/>
      <c r="P131" s="179"/>
    </row>
    <row r="132" spans="1:17" s="112" customFormat="1" ht="21" customHeight="1">
      <c r="A132" s="535" t="s">
        <v>39</v>
      </c>
      <c r="B132" s="552"/>
      <c r="C132" s="552"/>
      <c r="D132" s="553"/>
      <c r="E132" s="598">
        <f>I20</f>
        <v>2504</v>
      </c>
      <c r="F132" s="598"/>
      <c r="G132" s="598">
        <f t="shared" ref="G132:H136" si="61">SUM(D132:E132)</f>
        <v>2504</v>
      </c>
      <c r="H132" s="598">
        <f t="shared" si="61"/>
        <v>2504</v>
      </c>
      <c r="I132" s="625">
        <f>H132+H133+H134</f>
        <v>11042</v>
      </c>
      <c r="M132" s="112" t="e">
        <f>D122+E122+F122+H122+#REF!</f>
        <v>#REF!</v>
      </c>
      <c r="N132" s="112">
        <v>10890</v>
      </c>
      <c r="O132" s="112">
        <f>8694+2414</f>
        <v>11108</v>
      </c>
      <c r="P132" s="528"/>
    </row>
    <row r="133" spans="1:17" s="112" customFormat="1" ht="21" customHeight="1">
      <c r="A133" s="535" t="s">
        <v>149</v>
      </c>
      <c r="B133" s="552"/>
      <c r="C133" s="552"/>
      <c r="D133" s="553"/>
      <c r="E133" s="598">
        <f>I98+I112</f>
        <v>4996</v>
      </c>
      <c r="F133" s="598">
        <f>I42+I63+I74</f>
        <v>3477</v>
      </c>
      <c r="G133" s="598">
        <f t="shared" si="61"/>
        <v>4996</v>
      </c>
      <c r="H133" s="598">
        <f t="shared" si="61"/>
        <v>8473</v>
      </c>
      <c r="I133" s="599"/>
      <c r="M133" s="112">
        <f>H135+H136</f>
        <v>35</v>
      </c>
      <c r="N133" s="112">
        <f>I132-N132</f>
        <v>152</v>
      </c>
      <c r="P133" s="179"/>
    </row>
    <row r="134" spans="1:17" s="112" customFormat="1" ht="21" customHeight="1">
      <c r="A134" s="535" t="s">
        <v>41</v>
      </c>
      <c r="B134" s="552"/>
      <c r="C134" s="552"/>
      <c r="D134" s="553"/>
      <c r="E134" s="598">
        <f>I117</f>
        <v>0</v>
      </c>
      <c r="F134" s="598">
        <f>I69</f>
        <v>65</v>
      </c>
      <c r="G134" s="598">
        <f t="shared" si="61"/>
        <v>0</v>
      </c>
      <c r="H134" s="598">
        <f t="shared" si="61"/>
        <v>65</v>
      </c>
      <c r="I134" s="599"/>
      <c r="M134" s="112" t="e">
        <f>M132-M133</f>
        <v>#REF!</v>
      </c>
      <c r="N134" s="112">
        <v>11107</v>
      </c>
      <c r="P134" s="179"/>
    </row>
    <row r="135" spans="1:17" s="112" customFormat="1" ht="21" customHeight="1">
      <c r="A135" s="535" t="s">
        <v>150</v>
      </c>
      <c r="B135" s="552"/>
      <c r="C135" s="552"/>
      <c r="D135" s="553"/>
      <c r="E135" s="554">
        <f>I121</f>
        <v>0</v>
      </c>
      <c r="F135" s="554">
        <f>I46+I73</f>
        <v>12</v>
      </c>
      <c r="G135" s="554">
        <f t="shared" si="61"/>
        <v>0</v>
      </c>
      <c r="H135" s="554">
        <f t="shared" si="61"/>
        <v>12</v>
      </c>
      <c r="I135" s="600">
        <f>H135</f>
        <v>12</v>
      </c>
      <c r="N135" s="112">
        <v>10890</v>
      </c>
      <c r="P135" s="179"/>
    </row>
    <row r="136" spans="1:17" s="112" customFormat="1" ht="21" customHeight="1">
      <c r="A136" s="535" t="s">
        <v>151</v>
      </c>
      <c r="B136" s="552"/>
      <c r="C136" s="552"/>
      <c r="D136" s="553"/>
      <c r="E136" s="554">
        <f>I29</f>
        <v>15</v>
      </c>
      <c r="F136" s="554">
        <f>I49</f>
        <v>8</v>
      </c>
      <c r="G136" s="554">
        <f t="shared" si="61"/>
        <v>15</v>
      </c>
      <c r="H136" s="554">
        <f t="shared" si="61"/>
        <v>23</v>
      </c>
      <c r="I136" s="600">
        <f>H136</f>
        <v>23</v>
      </c>
      <c r="P136" s="179"/>
    </row>
    <row r="137" spans="1:17" s="112" customFormat="1" ht="21" customHeight="1">
      <c r="A137" s="536"/>
      <c r="B137" s="555"/>
      <c r="C137" s="555"/>
      <c r="D137" s="556"/>
      <c r="E137" s="642">
        <f>SUM(E132:E136)</f>
        <v>7515</v>
      </c>
      <c r="F137" s="642">
        <f>SUM(F132:F136)</f>
        <v>3562</v>
      </c>
      <c r="G137" s="642"/>
      <c r="H137" s="842">
        <f>E137+F137</f>
        <v>11077</v>
      </c>
      <c r="I137" s="842"/>
      <c r="M137" s="112">
        <f>8241</f>
        <v>8241</v>
      </c>
      <c r="P137" s="179"/>
    </row>
    <row r="138" spans="1:17" s="112" customFormat="1" ht="21" customHeight="1">
      <c r="A138" s="93"/>
      <c r="B138" s="93"/>
      <c r="C138" s="93"/>
      <c r="D138" s="126"/>
      <c r="M138" s="112">
        <v>2932</v>
      </c>
      <c r="P138" s="179"/>
    </row>
    <row r="139" spans="1:17" s="112" customFormat="1" ht="21" customHeight="1">
      <c r="A139" s="93"/>
      <c r="B139" s="93"/>
      <c r="C139" s="93"/>
      <c r="D139" s="126"/>
      <c r="M139" s="112">
        <v>46</v>
      </c>
      <c r="P139" s="179"/>
      <c r="Q139" s="112">
        <f>18+35</f>
        <v>53</v>
      </c>
    </row>
    <row r="140" spans="1:17" s="112" customFormat="1" ht="21" customHeight="1">
      <c r="A140" s="93"/>
      <c r="B140" s="93"/>
      <c r="C140" s="93"/>
      <c r="D140" s="126"/>
      <c r="E140" s="528">
        <f>9289+2777</f>
        <v>12066</v>
      </c>
      <c r="M140" s="112">
        <f>SUM(M137:M139)</f>
        <v>11219</v>
      </c>
      <c r="P140" s="179"/>
    </row>
    <row r="141" spans="1:17" s="112" customFormat="1" ht="21" customHeight="1">
      <c r="A141" s="93"/>
      <c r="B141" s="93"/>
      <c r="C141" s="93"/>
      <c r="D141" s="126"/>
      <c r="M141" s="112">
        <f>M140-I122</f>
        <v>142</v>
      </c>
      <c r="P141" s="179"/>
    </row>
  </sheetData>
  <mergeCells count="17">
    <mergeCell ref="Q32:S32"/>
    <mergeCell ref="A131:D131"/>
    <mergeCell ref="Q33:S33"/>
    <mergeCell ref="H137:I137"/>
    <mergeCell ref="Q15:S15"/>
    <mergeCell ref="P16:V16"/>
    <mergeCell ref="P17:P18"/>
    <mergeCell ref="Q17:U17"/>
    <mergeCell ref="V17:V18"/>
    <mergeCell ref="A1:I1"/>
    <mergeCell ref="A2:I2"/>
    <mergeCell ref="P2:V2"/>
    <mergeCell ref="A3:A4"/>
    <mergeCell ref="P4:P5"/>
    <mergeCell ref="Q4:U4"/>
    <mergeCell ref="V4:V5"/>
    <mergeCell ref="P3:V3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1" manualBreakCount="1">
    <brk id="42" max="18" man="1"/>
  </rowBreaks>
  <ignoredErrors>
    <ignoredError sqref="H5 C5:F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7"/>
  <sheetViews>
    <sheetView zoomScale="110" zoomScaleNormal="110" zoomScaleSheetLayoutView="98" workbookViewId="0">
      <pane xSplit="1" ySplit="4" topLeftCell="B71" activePane="bottomRight" state="frozen"/>
      <selection pane="topRight" activeCell="B1" sqref="B1"/>
      <selection pane="bottomLeft" activeCell="A3" sqref="A3"/>
      <selection pane="bottomRight" activeCell="G86" sqref="G86"/>
    </sheetView>
  </sheetViews>
  <sheetFormatPr defaultRowHeight="21"/>
  <cols>
    <col min="1" max="1" width="53.28515625" style="93" customWidth="1"/>
    <col min="2" max="2" width="7" style="93" customWidth="1"/>
    <col min="3" max="3" width="6.85546875" style="93" customWidth="1"/>
    <col min="4" max="4" width="7" style="93" customWidth="1"/>
    <col min="5" max="5" width="7.28515625" style="93" customWidth="1"/>
    <col min="6" max="6" width="7.140625" style="93" customWidth="1"/>
    <col min="7" max="7" width="7.28515625" style="93" customWidth="1"/>
    <col min="8" max="9" width="7.7109375" style="93" hidden="1" customWidth="1"/>
    <col min="10" max="10" width="8.42578125" style="93" customWidth="1"/>
    <col min="11" max="16" width="0" style="93" hidden="1" customWidth="1"/>
    <col min="17" max="17" width="8.5703125" style="93" hidden="1" customWidth="1"/>
    <col min="18" max="18" width="26.42578125" style="93" customWidth="1"/>
    <col min="19" max="21" width="8.5703125" style="93" customWidth="1"/>
    <col min="22" max="16384" width="9.140625" style="93"/>
  </cols>
  <sheetData>
    <row r="1" spans="1:29">
      <c r="A1" s="803" t="s">
        <v>348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2"/>
      <c r="R1" s="524"/>
      <c r="S1" s="524"/>
      <c r="T1" s="524"/>
      <c r="U1" s="524"/>
    </row>
    <row r="2" spans="1:29">
      <c r="A2" s="537"/>
      <c r="B2" s="612"/>
      <c r="C2" s="863" t="s">
        <v>131</v>
      </c>
      <c r="D2" s="863"/>
      <c r="E2" s="863"/>
      <c r="F2" s="863"/>
      <c r="G2" s="863"/>
      <c r="H2" s="863"/>
      <c r="I2" s="864"/>
      <c r="J2" s="865" t="s">
        <v>3</v>
      </c>
    </row>
    <row r="3" spans="1:29">
      <c r="A3" s="867" t="s">
        <v>0</v>
      </c>
      <c r="B3" s="558">
        <v>2559</v>
      </c>
      <c r="C3" s="558">
        <v>2558</v>
      </c>
      <c r="D3" s="558">
        <v>2557</v>
      </c>
      <c r="E3" s="558">
        <v>2556</v>
      </c>
      <c r="F3" s="559">
        <v>2555</v>
      </c>
      <c r="G3" s="559">
        <v>2554</v>
      </c>
      <c r="H3" s="559">
        <v>2553</v>
      </c>
      <c r="I3" s="559">
        <v>2551</v>
      </c>
      <c r="J3" s="866"/>
      <c r="K3" s="359" t="s">
        <v>84</v>
      </c>
      <c r="L3" s="360" t="s">
        <v>85</v>
      </c>
      <c r="M3" s="360" t="s">
        <v>86</v>
      </c>
      <c r="N3" s="360" t="s">
        <v>87</v>
      </c>
      <c r="O3" s="360" t="s">
        <v>88</v>
      </c>
      <c r="P3" s="788" t="s">
        <v>3</v>
      </c>
    </row>
    <row r="4" spans="1:29" ht="12.75" hidden="1" customHeight="1">
      <c r="A4" s="868"/>
      <c r="B4" s="560"/>
      <c r="C4" s="560"/>
      <c r="D4" s="560"/>
      <c r="E4" s="560"/>
      <c r="F4" s="561" t="s">
        <v>1</v>
      </c>
      <c r="G4" s="561" t="s">
        <v>1</v>
      </c>
      <c r="H4" s="561"/>
      <c r="I4" s="561"/>
      <c r="J4" s="561" t="s">
        <v>1</v>
      </c>
      <c r="K4" s="362" t="s">
        <v>1</v>
      </c>
      <c r="L4" s="362"/>
      <c r="M4" s="362"/>
      <c r="N4" s="362"/>
      <c r="O4" s="362" t="s">
        <v>2</v>
      </c>
      <c r="P4" s="807"/>
    </row>
    <row r="5" spans="1:29">
      <c r="A5" s="363" t="s">
        <v>5</v>
      </c>
      <c r="B5" s="363"/>
      <c r="C5" s="363"/>
      <c r="D5" s="363"/>
      <c r="E5" s="363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5"/>
      <c r="R5" s="171"/>
      <c r="S5" s="524"/>
      <c r="T5" s="524"/>
      <c r="U5" s="524"/>
      <c r="V5" s="524"/>
      <c r="W5" s="524"/>
      <c r="X5" s="524"/>
    </row>
    <row r="6" spans="1:29">
      <c r="A6" s="432" t="s">
        <v>92</v>
      </c>
      <c r="B6" s="247"/>
      <c r="C6" s="247"/>
      <c r="D6" s="247"/>
      <c r="E6" s="247"/>
      <c r="F6" s="613"/>
      <c r="G6" s="613"/>
      <c r="H6" s="613"/>
      <c r="I6" s="613"/>
      <c r="J6" s="613">
        <f>SUM(B6:I6)</f>
        <v>0</v>
      </c>
      <c r="K6" s="366">
        <v>52</v>
      </c>
      <c r="L6" s="366">
        <v>64</v>
      </c>
      <c r="M6" s="366">
        <v>20</v>
      </c>
      <c r="N6" s="366">
        <v>54</v>
      </c>
      <c r="O6" s="366"/>
      <c r="P6" s="367">
        <f t="shared" ref="P6:P20" si="0">SUM(J6:O6)</f>
        <v>190</v>
      </c>
      <c r="Q6" s="93" t="s">
        <v>39</v>
      </c>
      <c r="R6" s="793" t="s">
        <v>350</v>
      </c>
      <c r="S6" s="793"/>
      <c r="T6" s="793"/>
      <c r="U6" s="793"/>
      <c r="V6" s="793"/>
      <c r="W6" s="793"/>
      <c r="X6" s="793"/>
    </row>
    <row r="7" spans="1:29" s="461" customFormat="1">
      <c r="A7" s="429" t="s">
        <v>93</v>
      </c>
      <c r="B7" s="250"/>
      <c r="C7" s="250"/>
      <c r="D7" s="250"/>
      <c r="E7" s="250"/>
      <c r="F7" s="368"/>
      <c r="G7" s="368"/>
      <c r="H7" s="368"/>
      <c r="I7" s="368"/>
      <c r="J7" s="368">
        <f>SUM(B7:I7)</f>
        <v>0</v>
      </c>
      <c r="K7" s="603">
        <v>17</v>
      </c>
      <c r="L7" s="454"/>
      <c r="M7" s="454"/>
      <c r="N7" s="454"/>
      <c r="O7" s="454"/>
      <c r="P7" s="459">
        <f t="shared" si="0"/>
        <v>17</v>
      </c>
      <c r="Q7" s="461" t="s">
        <v>39</v>
      </c>
      <c r="R7" s="602"/>
      <c r="S7" s="604"/>
      <c r="T7" s="604"/>
      <c r="U7" s="604"/>
      <c r="V7" s="604"/>
      <c r="W7" s="604"/>
      <c r="X7" s="604"/>
    </row>
    <row r="8" spans="1:29">
      <c r="A8" s="429" t="s">
        <v>94</v>
      </c>
      <c r="B8" s="250"/>
      <c r="C8" s="250"/>
      <c r="D8" s="250"/>
      <c r="E8" s="250"/>
      <c r="F8" s="368"/>
      <c r="G8" s="368"/>
      <c r="H8" s="368"/>
      <c r="I8" s="368"/>
      <c r="J8" s="368">
        <f>SUM(B8:I8)</f>
        <v>0</v>
      </c>
      <c r="K8" s="369">
        <v>27</v>
      </c>
      <c r="L8" s="368"/>
      <c r="M8" s="368"/>
      <c r="N8" s="368"/>
      <c r="O8" s="368"/>
      <c r="P8" s="367">
        <f t="shared" si="0"/>
        <v>27</v>
      </c>
      <c r="Q8" s="93" t="s">
        <v>39</v>
      </c>
      <c r="R8" s="855" t="s">
        <v>201</v>
      </c>
      <c r="S8" s="857" t="s">
        <v>202</v>
      </c>
      <c r="T8" s="857"/>
      <c r="U8" s="857"/>
      <c r="V8" s="857"/>
      <c r="W8" s="857"/>
      <c r="X8" s="858" t="s">
        <v>3</v>
      </c>
    </row>
    <row r="9" spans="1:29" s="461" customFormat="1">
      <c r="A9" s="429" t="s">
        <v>112</v>
      </c>
      <c r="B9" s="250"/>
      <c r="C9" s="250"/>
      <c r="D9" s="250"/>
      <c r="E9" s="250"/>
      <c r="F9" s="368"/>
      <c r="G9" s="368"/>
      <c r="H9" s="368"/>
      <c r="I9" s="368"/>
      <c r="J9" s="368">
        <f t="shared" ref="J9:J14" si="1">SUM(B9:I9)</f>
        <v>0</v>
      </c>
      <c r="K9" s="454">
        <v>19</v>
      </c>
      <c r="L9" s="454"/>
      <c r="M9" s="454"/>
      <c r="N9" s="454"/>
      <c r="O9" s="454"/>
      <c r="P9" s="459">
        <f t="shared" si="0"/>
        <v>19</v>
      </c>
      <c r="Q9" s="461" t="s">
        <v>41</v>
      </c>
      <c r="R9" s="856"/>
      <c r="S9" s="572" t="s">
        <v>203</v>
      </c>
      <c r="T9" s="573" t="s">
        <v>204</v>
      </c>
      <c r="U9" s="573" t="s">
        <v>205</v>
      </c>
      <c r="V9" s="573" t="s">
        <v>51</v>
      </c>
      <c r="W9" s="573" t="s">
        <v>134</v>
      </c>
      <c r="X9" s="859"/>
    </row>
    <row r="10" spans="1:29">
      <c r="A10" s="429" t="s">
        <v>113</v>
      </c>
      <c r="B10" s="250"/>
      <c r="C10" s="250"/>
      <c r="D10" s="250"/>
      <c r="E10" s="250"/>
      <c r="F10" s="368"/>
      <c r="G10" s="368"/>
      <c r="H10" s="368"/>
      <c r="I10" s="368"/>
      <c r="J10" s="368">
        <f t="shared" si="1"/>
        <v>0</v>
      </c>
      <c r="K10" s="368"/>
      <c r="L10" s="368"/>
      <c r="M10" s="368"/>
      <c r="N10" s="368"/>
      <c r="O10" s="368"/>
      <c r="P10" s="367">
        <f t="shared" si="0"/>
        <v>0</v>
      </c>
      <c r="Q10" s="93" t="s">
        <v>41</v>
      </c>
      <c r="R10" s="173" t="s">
        <v>200</v>
      </c>
      <c r="S10" s="174">
        <f>บัณฑิตศึกษา!I39</f>
        <v>220</v>
      </c>
      <c r="T10" s="174"/>
      <c r="U10" s="174">
        <f>J20-J19</f>
        <v>0</v>
      </c>
      <c r="V10" s="174">
        <f>บัณฑิตศึกษา!I13</f>
        <v>449</v>
      </c>
      <c r="W10" s="174">
        <f>บัณฑิตศึกษา!I19</f>
        <v>152</v>
      </c>
      <c r="X10" s="174">
        <f t="shared" ref="X10:X18" si="2">SUM(S10:W10)</f>
        <v>821</v>
      </c>
      <c r="AC10" s="461"/>
    </row>
    <row r="11" spans="1:29">
      <c r="A11" s="429" t="s">
        <v>114</v>
      </c>
      <c r="B11" s="250"/>
      <c r="C11" s="250"/>
      <c r="D11" s="250"/>
      <c r="E11" s="250"/>
      <c r="F11" s="368"/>
      <c r="G11" s="368"/>
      <c r="H11" s="368"/>
      <c r="I11" s="368"/>
      <c r="J11" s="368">
        <f t="shared" si="1"/>
        <v>0</v>
      </c>
      <c r="K11" s="368"/>
      <c r="L11" s="368"/>
      <c r="M11" s="368"/>
      <c r="N11" s="368"/>
      <c r="O11" s="368"/>
      <c r="P11" s="367">
        <f t="shared" si="0"/>
        <v>0</v>
      </c>
      <c r="R11" s="173" t="s">
        <v>206</v>
      </c>
      <c r="S11" s="174"/>
      <c r="T11" s="174">
        <f>J60</f>
        <v>490</v>
      </c>
      <c r="U11" s="174"/>
      <c r="V11" s="174">
        <f>บัณฑิตศึกษา!I28</f>
        <v>14</v>
      </c>
      <c r="W11" s="174"/>
      <c r="X11" s="174">
        <f t="shared" si="2"/>
        <v>504</v>
      </c>
      <c r="Z11" s="93">
        <f>353+494</f>
        <v>847</v>
      </c>
    </row>
    <row r="12" spans="1:29">
      <c r="A12" s="429" t="s">
        <v>115</v>
      </c>
      <c r="B12" s="250"/>
      <c r="C12" s="250"/>
      <c r="D12" s="250"/>
      <c r="E12" s="250"/>
      <c r="F12" s="368"/>
      <c r="G12" s="368"/>
      <c r="H12" s="368"/>
      <c r="I12" s="368"/>
      <c r="J12" s="368">
        <f t="shared" si="1"/>
        <v>0</v>
      </c>
      <c r="K12" s="369"/>
      <c r="L12" s="368"/>
      <c r="M12" s="368"/>
      <c r="N12" s="368"/>
      <c r="O12" s="368"/>
      <c r="P12" s="367">
        <f t="shared" si="0"/>
        <v>0</v>
      </c>
      <c r="Q12" s="370">
        <v>526</v>
      </c>
      <c r="R12" s="173" t="s">
        <v>197</v>
      </c>
      <c r="S12" s="174">
        <f>J70+J81</f>
        <v>250</v>
      </c>
      <c r="T12" s="174">
        <f>J84-S12</f>
        <v>383</v>
      </c>
      <c r="U12" s="174"/>
      <c r="V12" s="174">
        <f>บัณฑิตศึกษา!I34</f>
        <v>86</v>
      </c>
      <c r="W12" s="174">
        <f>บัณฑิตศึกษา!I35</f>
        <v>40</v>
      </c>
      <c r="X12" s="174">
        <f t="shared" si="2"/>
        <v>759</v>
      </c>
    </row>
    <row r="13" spans="1:29">
      <c r="A13" s="429" t="s">
        <v>96</v>
      </c>
      <c r="B13" s="250"/>
      <c r="C13" s="250"/>
      <c r="D13" s="250"/>
      <c r="E13" s="250"/>
      <c r="F13" s="368"/>
      <c r="G13" s="368"/>
      <c r="H13" s="368"/>
      <c r="I13" s="368"/>
      <c r="J13" s="368">
        <f t="shared" si="1"/>
        <v>0</v>
      </c>
      <c r="K13" s="368"/>
      <c r="L13" s="368"/>
      <c r="M13" s="368"/>
      <c r="N13" s="368"/>
      <c r="O13" s="368"/>
      <c r="P13" s="367">
        <f t="shared" si="0"/>
        <v>0</v>
      </c>
      <c r="Q13" s="370">
        <v>116</v>
      </c>
      <c r="R13" s="106" t="s">
        <v>3</v>
      </c>
      <c r="S13" s="106">
        <f>SUM(S10:S12)</f>
        <v>470</v>
      </c>
      <c r="T13" s="106">
        <f t="shared" ref="T13:X13" si="3">SUM(T10:T12)</f>
        <v>873</v>
      </c>
      <c r="U13" s="106">
        <f t="shared" si="3"/>
        <v>0</v>
      </c>
      <c r="V13" s="106">
        <f t="shared" si="3"/>
        <v>549</v>
      </c>
      <c r="W13" s="106">
        <f t="shared" si="3"/>
        <v>192</v>
      </c>
      <c r="X13" s="106">
        <f t="shared" si="3"/>
        <v>2084</v>
      </c>
      <c r="Y13" s="93">
        <v>153</v>
      </c>
      <c r="Z13" s="117">
        <f>SUM(X13:Y13)</f>
        <v>2237</v>
      </c>
    </row>
    <row r="14" spans="1:29" s="461" customFormat="1">
      <c r="A14" s="429" t="s">
        <v>10</v>
      </c>
      <c r="B14" s="250"/>
      <c r="C14" s="250"/>
      <c r="D14" s="250"/>
      <c r="E14" s="250"/>
      <c r="F14" s="368"/>
      <c r="G14" s="368"/>
      <c r="H14" s="368"/>
      <c r="I14" s="368"/>
      <c r="J14" s="368">
        <f t="shared" si="1"/>
        <v>0</v>
      </c>
      <c r="K14" s="603">
        <v>24</v>
      </c>
      <c r="L14" s="454"/>
      <c r="M14" s="454"/>
      <c r="N14" s="454"/>
      <c r="O14" s="454"/>
      <c r="P14" s="459">
        <f t="shared" si="0"/>
        <v>24</v>
      </c>
      <c r="R14" s="193" t="s">
        <v>199</v>
      </c>
      <c r="S14" s="194"/>
      <c r="T14" s="194">
        <f>J42</f>
        <v>35</v>
      </c>
      <c r="U14" s="194"/>
      <c r="V14" s="194">
        <f>บัณฑิตศึกษา!M13</f>
        <v>78</v>
      </c>
      <c r="W14" s="194">
        <f>บัณฑิตศึกษา!I22</f>
        <v>1</v>
      </c>
      <c r="X14" s="194">
        <f t="shared" si="2"/>
        <v>114</v>
      </c>
    </row>
    <row r="15" spans="1:29" hidden="1">
      <c r="A15" s="250"/>
      <c r="B15" s="250"/>
      <c r="C15" s="250"/>
      <c r="D15" s="250"/>
      <c r="E15" s="250"/>
      <c r="F15" s="368"/>
      <c r="G15" s="368"/>
      <c r="H15" s="368"/>
      <c r="I15" s="368"/>
      <c r="J15" s="368"/>
      <c r="K15" s="369">
        <v>142</v>
      </c>
      <c r="L15" s="369">
        <v>334</v>
      </c>
      <c r="M15" s="369">
        <v>9</v>
      </c>
      <c r="N15" s="368">
        <v>1</v>
      </c>
      <c r="O15" s="368"/>
      <c r="P15" s="367">
        <f t="shared" si="0"/>
        <v>486</v>
      </c>
      <c r="Q15" s="93" t="s">
        <v>39</v>
      </c>
      <c r="R15" s="173" t="s">
        <v>17</v>
      </c>
      <c r="S15" s="174"/>
      <c r="T15" s="174"/>
      <c r="U15" s="174"/>
      <c r="V15" s="174"/>
      <c r="W15" s="174"/>
      <c r="X15" s="174">
        <f t="shared" si="2"/>
        <v>0</v>
      </c>
    </row>
    <row r="16" spans="1:29" hidden="1">
      <c r="A16" s="250" t="s">
        <v>7</v>
      </c>
      <c r="B16" s="250"/>
      <c r="C16" s="250"/>
      <c r="D16" s="250"/>
      <c r="E16" s="250"/>
      <c r="F16" s="368"/>
      <c r="G16" s="368"/>
      <c r="H16" s="368"/>
      <c r="I16" s="368"/>
      <c r="J16" s="368"/>
      <c r="K16" s="369">
        <v>36</v>
      </c>
      <c r="L16" s="368"/>
      <c r="M16" s="368"/>
      <c r="N16" s="368"/>
      <c r="O16" s="368"/>
      <c r="P16" s="367">
        <f t="shared" si="0"/>
        <v>36</v>
      </c>
      <c r="R16" s="173" t="s">
        <v>198</v>
      </c>
      <c r="S16" s="174"/>
      <c r="T16" s="174"/>
      <c r="U16" s="174"/>
      <c r="V16" s="174"/>
      <c r="W16" s="174"/>
      <c r="X16" s="174">
        <f t="shared" si="2"/>
        <v>0</v>
      </c>
    </row>
    <row r="17" spans="1:27" hidden="1">
      <c r="A17" s="250"/>
      <c r="B17" s="250"/>
      <c r="C17" s="250"/>
      <c r="D17" s="250"/>
      <c r="E17" s="250"/>
      <c r="F17" s="368"/>
      <c r="G17" s="368"/>
      <c r="H17" s="368"/>
      <c r="I17" s="368"/>
      <c r="J17" s="368"/>
      <c r="K17" s="369">
        <v>42</v>
      </c>
      <c r="L17" s="369">
        <v>48</v>
      </c>
      <c r="M17" s="369">
        <v>7</v>
      </c>
      <c r="N17" s="368"/>
      <c r="O17" s="368"/>
      <c r="P17" s="367">
        <f t="shared" si="0"/>
        <v>97</v>
      </c>
      <c r="Q17" s="93" t="s">
        <v>41</v>
      </c>
      <c r="R17" s="182" t="s">
        <v>3</v>
      </c>
      <c r="S17" s="106"/>
      <c r="T17" s="106"/>
      <c r="U17" s="106"/>
      <c r="V17" s="106"/>
      <c r="W17" s="106"/>
      <c r="X17" s="174">
        <f t="shared" si="2"/>
        <v>0</v>
      </c>
    </row>
    <row r="18" spans="1:27" hidden="1">
      <c r="A18" s="250" t="s">
        <v>9</v>
      </c>
      <c r="B18" s="250"/>
      <c r="C18" s="250"/>
      <c r="D18" s="250"/>
      <c r="E18" s="250"/>
      <c r="F18" s="368"/>
      <c r="G18" s="368"/>
      <c r="H18" s="368"/>
      <c r="I18" s="368"/>
      <c r="J18" s="368"/>
      <c r="K18" s="369">
        <v>36</v>
      </c>
      <c r="L18" s="368"/>
      <c r="M18" s="368"/>
      <c r="N18" s="368"/>
      <c r="O18" s="368"/>
      <c r="P18" s="367">
        <f t="shared" si="0"/>
        <v>36</v>
      </c>
      <c r="R18" s="182" t="s">
        <v>59</v>
      </c>
      <c r="S18" s="106"/>
      <c r="T18" s="106"/>
      <c r="U18" s="106"/>
      <c r="V18" s="106"/>
      <c r="W18" s="106"/>
      <c r="X18" s="106">
        <f t="shared" si="2"/>
        <v>0</v>
      </c>
    </row>
    <row r="19" spans="1:27">
      <c r="A19" s="371" t="s">
        <v>40</v>
      </c>
      <c r="B19" s="371"/>
      <c r="C19" s="371"/>
      <c r="D19" s="371"/>
      <c r="E19" s="371"/>
      <c r="F19" s="372"/>
      <c r="G19" s="373"/>
      <c r="H19" s="374"/>
      <c r="I19" s="374"/>
      <c r="J19" s="374">
        <f>SUM(B19:H19)</f>
        <v>0</v>
      </c>
      <c r="K19" s="375">
        <v>117</v>
      </c>
      <c r="L19" s="375">
        <v>146</v>
      </c>
      <c r="M19" s="376">
        <v>22</v>
      </c>
      <c r="N19" s="376"/>
      <c r="O19" s="376"/>
      <c r="P19" s="367">
        <f t="shared" si="0"/>
        <v>285</v>
      </c>
      <c r="R19" s="173" t="s">
        <v>17</v>
      </c>
      <c r="S19" s="377"/>
      <c r="T19" s="378">
        <f>J46</f>
        <v>2</v>
      </c>
      <c r="U19" s="377"/>
      <c r="V19" s="377"/>
      <c r="W19" s="377"/>
      <c r="X19" s="378">
        <f>SUM(S19:W19)</f>
        <v>2</v>
      </c>
      <c r="Z19" s="372">
        <v>23</v>
      </c>
      <c r="AA19" s="373">
        <f>101+202</f>
        <v>303</v>
      </c>
    </row>
    <row r="20" spans="1:27">
      <c r="A20" s="95" t="s">
        <v>3</v>
      </c>
      <c r="B20" s="95">
        <f t="shared" ref="B20:O20" si="4">SUM(B6:B19)</f>
        <v>0</v>
      </c>
      <c r="C20" s="95">
        <f t="shared" si="4"/>
        <v>0</v>
      </c>
      <c r="D20" s="95">
        <f t="shared" si="4"/>
        <v>0</v>
      </c>
      <c r="E20" s="95">
        <f t="shared" si="4"/>
        <v>0</v>
      </c>
      <c r="F20" s="95">
        <f>SUM(F6:F19)</f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95">
        <f>SUM(J6:J19)</f>
        <v>0</v>
      </c>
      <c r="K20" s="95">
        <f t="shared" si="4"/>
        <v>512</v>
      </c>
      <c r="L20" s="95">
        <f t="shared" si="4"/>
        <v>592</v>
      </c>
      <c r="M20" s="95">
        <f t="shared" si="4"/>
        <v>58</v>
      </c>
      <c r="N20" s="95">
        <f t="shared" si="4"/>
        <v>55</v>
      </c>
      <c r="O20" s="95">
        <f t="shared" si="4"/>
        <v>0</v>
      </c>
      <c r="P20" s="379">
        <f t="shared" si="0"/>
        <v>1217</v>
      </c>
      <c r="Q20" s="380">
        <f>1563+44+26+48+23+18+56+38</f>
        <v>1816</v>
      </c>
      <c r="R20" s="173" t="s">
        <v>198</v>
      </c>
      <c r="S20" s="381">
        <f>J32+J33+J34+J36+J37</f>
        <v>55</v>
      </c>
      <c r="T20" s="381">
        <f>J38-S20</f>
        <v>72</v>
      </c>
      <c r="U20" s="95"/>
      <c r="V20" s="378">
        <f>บัณฑิตศึกษา!I32</f>
        <v>0</v>
      </c>
      <c r="W20" s="377"/>
      <c r="X20" s="378">
        <f>SUM(S20:W20)</f>
        <v>127</v>
      </c>
      <c r="Y20" s="169"/>
      <c r="Z20" s="169"/>
    </row>
    <row r="21" spans="1:27">
      <c r="A21" s="382" t="s">
        <v>15</v>
      </c>
      <c r="B21" s="382"/>
      <c r="C21" s="382"/>
      <c r="D21" s="382"/>
      <c r="E21" s="382"/>
      <c r="F21" s="383"/>
      <c r="G21" s="384"/>
      <c r="H21" s="383"/>
      <c r="I21" s="383"/>
      <c r="J21" s="383"/>
      <c r="K21" s="383"/>
      <c r="L21" s="383"/>
      <c r="M21" s="383"/>
      <c r="N21" s="383"/>
      <c r="O21" s="383"/>
      <c r="P21" s="385"/>
      <c r="Q21" s="93">
        <f>1844-1816</f>
        <v>28</v>
      </c>
      <c r="R21" s="182" t="s">
        <v>3</v>
      </c>
      <c r="S21" s="106">
        <f t="shared" ref="S21:X21" si="5">SUM(S14:S20)</f>
        <v>55</v>
      </c>
      <c r="T21" s="106">
        <f t="shared" si="5"/>
        <v>109</v>
      </c>
      <c r="U21" s="106">
        <f t="shared" si="5"/>
        <v>0</v>
      </c>
      <c r="V21" s="106">
        <f t="shared" si="5"/>
        <v>78</v>
      </c>
      <c r="W21" s="106">
        <f t="shared" si="5"/>
        <v>1</v>
      </c>
      <c r="X21" s="106">
        <f t="shared" si="5"/>
        <v>243</v>
      </c>
    </row>
    <row r="22" spans="1:27">
      <c r="A22" s="426" t="s">
        <v>125</v>
      </c>
      <c r="B22" s="99"/>
      <c r="C22" s="99"/>
      <c r="D22" s="99"/>
      <c r="E22" s="426">
        <v>17</v>
      </c>
      <c r="F22" s="456">
        <v>3</v>
      </c>
      <c r="H22" s="639"/>
      <c r="I22" s="462"/>
      <c r="J22" s="454">
        <f>SUM(B22:I22)</f>
        <v>20</v>
      </c>
      <c r="K22" s="386"/>
      <c r="L22" s="386"/>
      <c r="M22" s="386"/>
      <c r="N22" s="386"/>
      <c r="O22" s="386"/>
      <c r="P22" s="367">
        <f>SUM(J22:O22)</f>
        <v>20</v>
      </c>
      <c r="R22" s="182" t="s">
        <v>59</v>
      </c>
      <c r="S22" s="539">
        <f>SUM(S13,S21)</f>
        <v>525</v>
      </c>
      <c r="T22" s="539">
        <f t="shared" ref="T22:W22" si="6">SUM(T13,T21)</f>
        <v>982</v>
      </c>
      <c r="U22" s="539">
        <f t="shared" si="6"/>
        <v>0</v>
      </c>
      <c r="V22" s="539">
        <f>SUM(V13,V21)</f>
        <v>627</v>
      </c>
      <c r="W22" s="539">
        <f t="shared" si="6"/>
        <v>193</v>
      </c>
      <c r="X22" s="539">
        <f>SUM(X13,X21)</f>
        <v>2327</v>
      </c>
    </row>
    <row r="23" spans="1:27">
      <c r="A23" s="426" t="s">
        <v>354</v>
      </c>
      <c r="B23" s="426">
        <v>14</v>
      </c>
      <c r="C23" s="99"/>
      <c r="D23" s="99"/>
      <c r="E23" s="99"/>
      <c r="F23" s="388"/>
      <c r="G23" s="615"/>
      <c r="H23" s="601"/>
      <c r="I23" s="484"/>
      <c r="J23" s="368">
        <f t="shared" ref="J23:J36" si="7">SUM(B23:I23)</f>
        <v>14</v>
      </c>
      <c r="K23" s="388"/>
      <c r="L23" s="388"/>
      <c r="M23" s="388"/>
      <c r="N23" s="388"/>
      <c r="O23" s="388"/>
      <c r="P23" s="367">
        <f>SUM(J23:O23)</f>
        <v>14</v>
      </c>
      <c r="S23" s="860">
        <f>S22+T22+U22</f>
        <v>1507</v>
      </c>
      <c r="T23" s="861"/>
      <c r="U23" s="862"/>
      <c r="V23" s="546">
        <f>V22+W22</f>
        <v>820</v>
      </c>
      <c r="W23" s="546">
        <f>S10</f>
        <v>220</v>
      </c>
      <c r="X23" s="546">
        <f>SUM(V23:W23)</f>
        <v>1040</v>
      </c>
      <c r="Y23" s="540">
        <f>'ปกติ (2)'!I135+'ปกติ (2)'!I136</f>
        <v>35</v>
      </c>
      <c r="Z23" s="541">
        <f>SUM(X23:Y23)</f>
        <v>1075</v>
      </c>
    </row>
    <row r="24" spans="1:27">
      <c r="A24" s="426" t="s">
        <v>255</v>
      </c>
      <c r="B24" s="99"/>
      <c r="C24" s="99"/>
      <c r="D24" s="99"/>
      <c r="E24" s="99"/>
      <c r="F24" s="386"/>
      <c r="G24" s="391"/>
      <c r="H24" s="388"/>
      <c r="I24" s="388"/>
      <c r="J24" s="368">
        <f t="shared" si="7"/>
        <v>0</v>
      </c>
      <c r="K24" s="386"/>
      <c r="L24" s="386"/>
      <c r="M24" s="386"/>
      <c r="N24" s="386"/>
      <c r="O24" s="386"/>
      <c r="P24" s="367">
        <f t="shared" ref="P24:P84" si="8">SUM(J24:O24)</f>
        <v>0</v>
      </c>
      <c r="R24" s="93" t="s">
        <v>302</v>
      </c>
      <c r="W24" s="617">
        <f>S23+V23+W23</f>
        <v>2547</v>
      </c>
    </row>
    <row r="25" spans="1:27" hidden="1">
      <c r="A25" s="99" t="s">
        <v>159</v>
      </c>
      <c r="B25" s="99"/>
      <c r="C25" s="99"/>
      <c r="D25" s="99"/>
      <c r="E25" s="99"/>
      <c r="F25" s="388"/>
      <c r="G25" s="391"/>
      <c r="H25" s="388"/>
      <c r="I25" s="388"/>
      <c r="J25" s="368">
        <f t="shared" si="7"/>
        <v>0</v>
      </c>
      <c r="K25" s="388"/>
      <c r="L25" s="388"/>
      <c r="M25" s="388"/>
      <c r="N25" s="388"/>
      <c r="O25" s="388"/>
      <c r="P25" s="367"/>
    </row>
    <row r="26" spans="1:27" hidden="1">
      <c r="A26" s="99" t="s">
        <v>160</v>
      </c>
      <c r="B26" s="99"/>
      <c r="C26" s="99"/>
      <c r="D26" s="99"/>
      <c r="E26" s="99"/>
      <c r="F26" s="388"/>
      <c r="G26" s="389"/>
      <c r="H26" s="388"/>
      <c r="I26" s="388"/>
      <c r="J26" s="368">
        <f t="shared" si="7"/>
        <v>0</v>
      </c>
      <c r="K26" s="388"/>
      <c r="L26" s="388"/>
      <c r="M26" s="388"/>
      <c r="N26" s="388"/>
      <c r="O26" s="388"/>
      <c r="P26" s="367"/>
    </row>
    <row r="27" spans="1:27" hidden="1">
      <c r="A27" s="99" t="s">
        <v>145</v>
      </c>
      <c r="B27" s="99"/>
      <c r="C27" s="99"/>
      <c r="D27" s="99"/>
      <c r="E27" s="99"/>
      <c r="F27" s="388"/>
      <c r="G27" s="389"/>
      <c r="H27" s="388"/>
      <c r="I27" s="388"/>
      <c r="J27" s="368">
        <f t="shared" si="7"/>
        <v>0</v>
      </c>
      <c r="K27" s="390"/>
      <c r="L27" s="390"/>
      <c r="M27" s="388"/>
      <c r="N27" s="388"/>
      <c r="O27" s="388"/>
      <c r="P27" s="367">
        <f>SUM(J27:O27)</f>
        <v>0</v>
      </c>
    </row>
    <row r="28" spans="1:27" hidden="1">
      <c r="A28" s="99" t="s">
        <v>139</v>
      </c>
      <c r="B28" s="99"/>
      <c r="C28" s="99"/>
      <c r="D28" s="99"/>
      <c r="E28" s="99"/>
      <c r="F28" s="388"/>
      <c r="G28" s="389"/>
      <c r="H28" s="388"/>
      <c r="I28" s="388"/>
      <c r="J28" s="368">
        <f t="shared" si="7"/>
        <v>0</v>
      </c>
      <c r="K28" s="390"/>
      <c r="L28" s="390"/>
      <c r="M28" s="388"/>
      <c r="N28" s="388"/>
      <c r="O28" s="388"/>
      <c r="P28" s="367">
        <f t="shared" si="8"/>
        <v>0</v>
      </c>
    </row>
    <row r="29" spans="1:27" hidden="1">
      <c r="A29" s="99" t="s">
        <v>147</v>
      </c>
      <c r="B29" s="99"/>
      <c r="C29" s="99"/>
      <c r="D29" s="99"/>
      <c r="E29" s="99"/>
      <c r="F29" s="388"/>
      <c r="G29" s="389"/>
      <c r="H29" s="388"/>
      <c r="I29" s="388"/>
      <c r="J29" s="368">
        <f t="shared" si="7"/>
        <v>0</v>
      </c>
      <c r="K29" s="390"/>
      <c r="L29" s="390"/>
      <c r="M29" s="388"/>
      <c r="N29" s="388"/>
      <c r="O29" s="388"/>
      <c r="P29" s="367">
        <f t="shared" si="8"/>
        <v>0</v>
      </c>
    </row>
    <row r="30" spans="1:27">
      <c r="A30" s="426" t="s">
        <v>315</v>
      </c>
      <c r="B30" s="426">
        <v>13</v>
      </c>
      <c r="C30" s="426">
        <v>11</v>
      </c>
      <c r="D30" s="426"/>
      <c r="E30" s="426"/>
      <c r="F30" s="456"/>
      <c r="G30" s="463"/>
      <c r="H30" s="460"/>
      <c r="I30" s="460"/>
      <c r="J30" s="454">
        <f t="shared" si="7"/>
        <v>24</v>
      </c>
      <c r="K30" s="386"/>
      <c r="L30" s="386"/>
      <c r="M30" s="386"/>
      <c r="N30" s="386"/>
      <c r="O30" s="386"/>
      <c r="P30" s="367">
        <f t="shared" ref="P30" si="9">SUM(J30:O30)</f>
        <v>24</v>
      </c>
      <c r="R30" s="93" t="s">
        <v>302</v>
      </c>
      <c r="W30" s="617">
        <f>S10+V22+W22</f>
        <v>1040</v>
      </c>
    </row>
    <row r="31" spans="1:27">
      <c r="A31" s="426" t="s">
        <v>346</v>
      </c>
      <c r="B31" s="426">
        <v>14</v>
      </c>
      <c r="C31" s="99"/>
      <c r="D31" s="99"/>
      <c r="E31" s="99"/>
      <c r="F31" s="386"/>
      <c r="G31" s="391"/>
      <c r="H31" s="460"/>
      <c r="I31" s="460"/>
      <c r="J31" s="454">
        <f>SUM(B31:I31)</f>
        <v>14</v>
      </c>
      <c r="K31" s="386"/>
      <c r="L31" s="386"/>
      <c r="M31" s="386"/>
      <c r="N31" s="386"/>
      <c r="O31" s="386"/>
      <c r="P31" s="367"/>
      <c r="W31" s="617"/>
    </row>
    <row r="32" spans="1:27">
      <c r="A32" s="426" t="s">
        <v>178</v>
      </c>
      <c r="B32" s="99"/>
      <c r="C32" s="426">
        <v>7</v>
      </c>
      <c r="D32" s="426"/>
      <c r="E32" s="426"/>
      <c r="F32" s="456">
        <v>1</v>
      </c>
      <c r="G32" s="463"/>
      <c r="H32" s="460"/>
      <c r="I32" s="460"/>
      <c r="J32" s="454">
        <f t="shared" si="7"/>
        <v>8</v>
      </c>
      <c r="K32" s="386"/>
      <c r="L32" s="386"/>
      <c r="M32" s="386"/>
      <c r="N32" s="386"/>
      <c r="O32" s="386"/>
      <c r="P32" s="367">
        <f t="shared" si="8"/>
        <v>8</v>
      </c>
      <c r="R32" s="461" t="s">
        <v>349</v>
      </c>
      <c r="U32" s="117">
        <f>S23-S10</f>
        <v>1287</v>
      </c>
      <c r="V32" s="117">
        <f>S22-S10</f>
        <v>305</v>
      </c>
      <c r="Y32" s="93">
        <f>SUM(W32:X32)</f>
        <v>0</v>
      </c>
    </row>
    <row r="33" spans="1:23">
      <c r="A33" s="426" t="s">
        <v>179</v>
      </c>
      <c r="B33" s="426">
        <v>14</v>
      </c>
      <c r="C33" s="426">
        <v>21</v>
      </c>
      <c r="D33" s="426">
        <v>5</v>
      </c>
      <c r="E33" s="426">
        <v>3</v>
      </c>
      <c r="F33" s="460">
        <v>1</v>
      </c>
      <c r="G33" s="464"/>
      <c r="H33" s="460"/>
      <c r="I33" s="460"/>
      <c r="J33" s="454">
        <f t="shared" si="7"/>
        <v>44</v>
      </c>
      <c r="K33" s="388"/>
      <c r="L33" s="388"/>
      <c r="M33" s="388"/>
      <c r="N33" s="388"/>
      <c r="O33" s="388"/>
      <c r="P33" s="367">
        <f t="shared" si="8"/>
        <v>44</v>
      </c>
      <c r="W33" s="117">
        <f>S13+T13+U13</f>
        <v>1343</v>
      </c>
    </row>
    <row r="34" spans="1:23" hidden="1">
      <c r="A34" s="99" t="s">
        <v>252</v>
      </c>
      <c r="B34" s="99"/>
      <c r="C34" s="99"/>
      <c r="D34" s="99"/>
      <c r="E34" s="99"/>
      <c r="F34" s="388"/>
      <c r="G34" s="389"/>
      <c r="H34" s="388"/>
      <c r="I34" s="388"/>
      <c r="J34" s="368">
        <f t="shared" si="7"/>
        <v>0</v>
      </c>
      <c r="K34" s="388"/>
      <c r="L34" s="388"/>
      <c r="M34" s="388"/>
      <c r="N34" s="388"/>
      <c r="O34" s="388"/>
      <c r="P34" s="367">
        <f t="shared" si="8"/>
        <v>0</v>
      </c>
      <c r="U34" s="117"/>
    </row>
    <row r="35" spans="1:23">
      <c r="A35" s="426" t="s">
        <v>177</v>
      </c>
      <c r="B35" s="99"/>
      <c r="C35" s="99"/>
      <c r="D35" s="99"/>
      <c r="E35" s="99"/>
      <c r="F35" s="388"/>
      <c r="G35" s="389"/>
      <c r="H35" s="460"/>
      <c r="I35" s="460"/>
      <c r="J35" s="454">
        <f t="shared" ref="J35" si="10">SUM(B35:I35)</f>
        <v>0</v>
      </c>
      <c r="K35" s="388"/>
      <c r="L35" s="388"/>
      <c r="M35" s="388"/>
      <c r="N35" s="388"/>
      <c r="O35" s="388"/>
      <c r="P35" s="367">
        <f t="shared" ref="P35" si="11">SUM(J35:O35)</f>
        <v>0</v>
      </c>
      <c r="S35" s="117">
        <f>S21-213</f>
        <v>-158</v>
      </c>
    </row>
    <row r="36" spans="1:23">
      <c r="A36" s="426" t="s">
        <v>342</v>
      </c>
      <c r="B36" s="99"/>
      <c r="C36" s="99"/>
      <c r="D36" s="99"/>
      <c r="E36" s="99"/>
      <c r="F36" s="388"/>
      <c r="G36" s="389"/>
      <c r="H36" s="388"/>
      <c r="I36" s="388"/>
      <c r="J36" s="368">
        <f t="shared" si="7"/>
        <v>0</v>
      </c>
      <c r="K36" s="388"/>
      <c r="L36" s="388"/>
      <c r="M36" s="388"/>
      <c r="N36" s="388"/>
      <c r="O36" s="388"/>
      <c r="P36" s="367">
        <f t="shared" si="8"/>
        <v>0</v>
      </c>
      <c r="S36" s="117">
        <f>S22-213</f>
        <v>312</v>
      </c>
    </row>
    <row r="37" spans="1:23">
      <c r="A37" s="426" t="s">
        <v>298</v>
      </c>
      <c r="B37" s="99"/>
      <c r="C37" s="99"/>
      <c r="D37" s="99"/>
      <c r="E37" s="426">
        <v>3</v>
      </c>
      <c r="F37" s="388"/>
      <c r="G37" s="389"/>
      <c r="H37" s="465"/>
      <c r="I37" s="640"/>
      <c r="J37" s="460">
        <f>SUM(B37:I37)</f>
        <v>3</v>
      </c>
      <c r="K37" s="390"/>
      <c r="L37" s="390"/>
      <c r="M37" s="388"/>
      <c r="N37" s="388"/>
      <c r="O37" s="388"/>
      <c r="P37" s="367">
        <f t="shared" si="8"/>
        <v>3</v>
      </c>
    </row>
    <row r="38" spans="1:23">
      <c r="A38" s="95" t="s">
        <v>3</v>
      </c>
      <c r="B38" s="392">
        <f t="shared" ref="B38:J38" si="12">SUM(B22:B37)</f>
        <v>55</v>
      </c>
      <c r="C38" s="392">
        <f t="shared" si="12"/>
        <v>39</v>
      </c>
      <c r="D38" s="392">
        <f t="shared" si="12"/>
        <v>5</v>
      </c>
      <c r="E38" s="392">
        <f t="shared" si="12"/>
        <v>23</v>
      </c>
      <c r="F38" s="392">
        <f t="shared" si="12"/>
        <v>5</v>
      </c>
      <c r="G38" s="392">
        <f t="shared" si="12"/>
        <v>0</v>
      </c>
      <c r="H38" s="392">
        <f t="shared" si="12"/>
        <v>0</v>
      </c>
      <c r="I38" s="392">
        <f t="shared" si="12"/>
        <v>0</v>
      </c>
      <c r="J38" s="392">
        <f t="shared" si="12"/>
        <v>127</v>
      </c>
      <c r="K38" s="392">
        <f>SUM(K24:K25)</f>
        <v>0</v>
      </c>
      <c r="L38" s="392">
        <f>SUM(L24:L25)</f>
        <v>0</v>
      </c>
      <c r="M38" s="392">
        <f>SUM(M24:M25)</f>
        <v>0</v>
      </c>
      <c r="N38" s="392">
        <f>SUM(N24:N25)</f>
        <v>0</v>
      </c>
      <c r="O38" s="392">
        <f>SUM(O24:O25)</f>
        <v>0</v>
      </c>
      <c r="P38" s="379">
        <f t="shared" si="8"/>
        <v>127</v>
      </c>
      <c r="Q38" s="393">
        <f>138+24+17</f>
        <v>179</v>
      </c>
      <c r="R38" s="394"/>
      <c r="S38" s="394"/>
      <c r="T38" s="394"/>
      <c r="U38" s="394"/>
      <c r="W38" s="395"/>
    </row>
    <row r="39" spans="1:23">
      <c r="A39" s="396" t="s">
        <v>11</v>
      </c>
      <c r="B39" s="396"/>
      <c r="C39" s="396"/>
      <c r="D39" s="396"/>
      <c r="E39" s="396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67">
        <f>SUM(J39:O39)</f>
        <v>0</v>
      </c>
    </row>
    <row r="40" spans="1:23">
      <c r="A40" s="451" t="s">
        <v>90</v>
      </c>
      <c r="B40" s="451"/>
      <c r="C40" s="451"/>
      <c r="D40" s="451">
        <v>15</v>
      </c>
      <c r="E40" s="451">
        <v>15</v>
      </c>
      <c r="F40" s="453">
        <v>5</v>
      </c>
      <c r="G40" s="453"/>
      <c r="H40" s="453"/>
      <c r="I40" s="453"/>
      <c r="J40" s="453">
        <f>SUM(B40:I40)</f>
        <v>35</v>
      </c>
      <c r="K40" s="383"/>
      <c r="L40" s="383"/>
      <c r="M40" s="383"/>
      <c r="N40" s="489">
        <v>26</v>
      </c>
      <c r="O40" s="489"/>
      <c r="P40" s="367">
        <f>SUM(J40:O40)</f>
        <v>61</v>
      </c>
      <c r="V40" s="490"/>
    </row>
    <row r="41" spans="1:23" hidden="1">
      <c r="A41" s="100" t="s">
        <v>91</v>
      </c>
      <c r="B41" s="100"/>
      <c r="C41" s="100"/>
      <c r="D41" s="100"/>
      <c r="E41" s="100"/>
      <c r="F41" s="386"/>
      <c r="G41" s="386"/>
      <c r="H41" s="386"/>
      <c r="I41" s="386"/>
      <c r="J41" s="386">
        <f>SUM(C41:I41)</f>
        <v>0</v>
      </c>
      <c r="K41" s="386"/>
      <c r="L41" s="386"/>
      <c r="M41" s="386"/>
      <c r="N41" s="399">
        <v>12</v>
      </c>
      <c r="O41" s="386"/>
      <c r="P41" s="367">
        <f>SUM(J41:O41)</f>
        <v>12</v>
      </c>
    </row>
    <row r="42" spans="1:23">
      <c r="A42" s="557" t="s">
        <v>3</v>
      </c>
      <c r="B42" s="392">
        <f t="shared" ref="B42:O42" si="13">SUM(B40:B41)</f>
        <v>0</v>
      </c>
      <c r="C42" s="392">
        <f t="shared" si="13"/>
        <v>0</v>
      </c>
      <c r="D42" s="392">
        <f t="shared" si="13"/>
        <v>15</v>
      </c>
      <c r="E42" s="392">
        <f t="shared" si="13"/>
        <v>15</v>
      </c>
      <c r="F42" s="392">
        <f t="shared" si="13"/>
        <v>5</v>
      </c>
      <c r="G42" s="392">
        <f t="shared" si="13"/>
        <v>0</v>
      </c>
      <c r="H42" s="392">
        <f t="shared" si="13"/>
        <v>0</v>
      </c>
      <c r="I42" s="392">
        <f t="shared" si="13"/>
        <v>0</v>
      </c>
      <c r="J42" s="392">
        <f t="shared" si="13"/>
        <v>35</v>
      </c>
      <c r="K42" s="392">
        <f t="shared" si="13"/>
        <v>0</v>
      </c>
      <c r="L42" s="392">
        <f t="shared" si="13"/>
        <v>0</v>
      </c>
      <c r="M42" s="392">
        <f t="shared" si="13"/>
        <v>0</v>
      </c>
      <c r="N42" s="392">
        <f t="shared" si="13"/>
        <v>38</v>
      </c>
      <c r="O42" s="392">
        <f t="shared" si="13"/>
        <v>0</v>
      </c>
      <c r="P42" s="379">
        <f>SUM(J42:O42)</f>
        <v>73</v>
      </c>
      <c r="R42" s="394"/>
      <c r="S42" s="394"/>
      <c r="T42" s="394"/>
    </row>
    <row r="43" spans="1:23">
      <c r="A43" s="396" t="s">
        <v>16</v>
      </c>
      <c r="B43" s="396"/>
      <c r="C43" s="396"/>
      <c r="D43" s="396"/>
      <c r="E43" s="396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67">
        <f t="shared" si="8"/>
        <v>0</v>
      </c>
    </row>
    <row r="44" spans="1:23">
      <c r="A44" s="451" t="s">
        <v>17</v>
      </c>
      <c r="B44" s="451"/>
      <c r="C44" s="451"/>
      <c r="D44" s="451"/>
      <c r="E44" s="451"/>
      <c r="F44" s="453">
        <v>2</v>
      </c>
      <c r="G44" s="453"/>
      <c r="H44" s="453"/>
      <c r="I44" s="453"/>
      <c r="J44" s="453">
        <f>SUM(B44:I44)</f>
        <v>2</v>
      </c>
      <c r="K44" s="383"/>
      <c r="L44" s="383"/>
      <c r="M44" s="383"/>
      <c r="N44" s="489">
        <v>26</v>
      </c>
      <c r="O44" s="489"/>
      <c r="P44" s="367">
        <f t="shared" si="8"/>
        <v>28</v>
      </c>
      <c r="V44" s="490"/>
    </row>
    <row r="45" spans="1:23">
      <c r="A45" s="100"/>
      <c r="B45" s="100"/>
      <c r="C45" s="100"/>
      <c r="D45" s="100"/>
      <c r="E45" s="100"/>
      <c r="F45" s="386"/>
      <c r="G45" s="386"/>
      <c r="H45" s="386"/>
      <c r="I45" s="386"/>
      <c r="J45" s="386"/>
      <c r="K45" s="386"/>
      <c r="L45" s="386"/>
      <c r="M45" s="386"/>
      <c r="N45" s="399"/>
      <c r="O45" s="386"/>
      <c r="P45" s="367"/>
    </row>
    <row r="46" spans="1:23">
      <c r="A46" s="95" t="s">
        <v>3</v>
      </c>
      <c r="B46" s="392">
        <f t="shared" ref="B46:O46" si="14">SUM(B44:B45)</f>
        <v>0</v>
      </c>
      <c r="C46" s="392">
        <f t="shared" si="14"/>
        <v>0</v>
      </c>
      <c r="D46" s="392">
        <f t="shared" si="14"/>
        <v>0</v>
      </c>
      <c r="E46" s="392">
        <f t="shared" si="14"/>
        <v>0</v>
      </c>
      <c r="F46" s="392">
        <f t="shared" si="14"/>
        <v>2</v>
      </c>
      <c r="G46" s="392">
        <f t="shared" si="14"/>
        <v>0</v>
      </c>
      <c r="H46" s="392">
        <f t="shared" si="14"/>
        <v>0</v>
      </c>
      <c r="I46" s="392">
        <f t="shared" si="14"/>
        <v>0</v>
      </c>
      <c r="J46" s="392">
        <f>SUM(J44:J45)</f>
        <v>2</v>
      </c>
      <c r="K46" s="392">
        <f t="shared" si="14"/>
        <v>0</v>
      </c>
      <c r="L46" s="392">
        <f t="shared" si="14"/>
        <v>0</v>
      </c>
      <c r="M46" s="392">
        <f t="shared" si="14"/>
        <v>0</v>
      </c>
      <c r="N46" s="392">
        <f t="shared" si="14"/>
        <v>26</v>
      </c>
      <c r="O46" s="392">
        <f t="shared" si="14"/>
        <v>0</v>
      </c>
      <c r="P46" s="379">
        <f t="shared" si="8"/>
        <v>28</v>
      </c>
      <c r="R46" s="394"/>
      <c r="S46" s="394"/>
      <c r="T46" s="394"/>
    </row>
    <row r="47" spans="1:23">
      <c r="A47" s="396" t="s">
        <v>19</v>
      </c>
      <c r="B47" s="396"/>
      <c r="C47" s="396"/>
      <c r="D47" s="396"/>
      <c r="E47" s="396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67">
        <f t="shared" si="8"/>
        <v>0</v>
      </c>
    </row>
    <row r="48" spans="1:23" hidden="1">
      <c r="A48" s="398" t="s">
        <v>20</v>
      </c>
      <c r="B48" s="398"/>
      <c r="C48" s="398"/>
      <c r="D48" s="398"/>
      <c r="E48" s="398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67">
        <f t="shared" si="8"/>
        <v>0</v>
      </c>
    </row>
    <row r="49" spans="1:27">
      <c r="A49" s="422" t="s">
        <v>4</v>
      </c>
      <c r="B49" s="422">
        <v>31</v>
      </c>
      <c r="C49" s="422">
        <v>30</v>
      </c>
      <c r="D49" s="422">
        <v>26</v>
      </c>
      <c r="E49" s="422">
        <v>21</v>
      </c>
      <c r="F49" s="456">
        <f>19+7</f>
        <v>26</v>
      </c>
      <c r="G49" s="456"/>
      <c r="H49" s="456"/>
      <c r="I49" s="456"/>
      <c r="J49" s="456">
        <f>SUM(B49:I49)</f>
        <v>134</v>
      </c>
      <c r="K49" s="456"/>
      <c r="L49" s="648">
        <v>28</v>
      </c>
      <c r="M49" s="456"/>
      <c r="N49" s="456"/>
      <c r="O49" s="456"/>
      <c r="P49" s="459">
        <f t="shared" si="8"/>
        <v>162</v>
      </c>
      <c r="Q49" s="461"/>
      <c r="R49" s="461"/>
      <c r="X49" s="169"/>
      <c r="Y49" s="169">
        <f>J54+J59</f>
        <v>212</v>
      </c>
      <c r="Z49" s="169">
        <f>J58</f>
        <v>0</v>
      </c>
      <c r="AA49" s="169">
        <f>SUM(X49:Z49)</f>
        <v>212</v>
      </c>
    </row>
    <row r="50" spans="1:27" hidden="1">
      <c r="A50" s="100" t="s">
        <v>21</v>
      </c>
      <c r="B50" s="100"/>
      <c r="C50" s="100"/>
      <c r="D50" s="100"/>
      <c r="E50" s="100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67">
        <f t="shared" si="8"/>
        <v>0</v>
      </c>
    </row>
    <row r="51" spans="1:27">
      <c r="A51" s="422" t="s">
        <v>76</v>
      </c>
      <c r="B51" s="422">
        <v>18</v>
      </c>
      <c r="C51" s="422">
        <v>25</v>
      </c>
      <c r="D51" s="422">
        <v>23</v>
      </c>
      <c r="E51" s="422">
        <v>24</v>
      </c>
      <c r="F51" s="456">
        <v>1</v>
      </c>
      <c r="G51" s="456"/>
      <c r="H51" s="456"/>
      <c r="I51" s="456"/>
      <c r="J51" s="456">
        <f t="shared" ref="J51:J54" si="15">SUM(B51:I51)</f>
        <v>91</v>
      </c>
      <c r="K51" s="386"/>
      <c r="L51" s="399">
        <v>28</v>
      </c>
      <c r="M51" s="386"/>
      <c r="N51" s="386"/>
      <c r="O51" s="386"/>
      <c r="P51" s="367">
        <f>SUM(J51:O51)</f>
        <v>119</v>
      </c>
    </row>
    <row r="52" spans="1:27" hidden="1">
      <c r="A52" s="100" t="s">
        <v>24</v>
      </c>
      <c r="B52" s="100"/>
      <c r="C52" s="100"/>
      <c r="D52" s="100"/>
      <c r="E52" s="100"/>
      <c r="F52" s="386"/>
      <c r="G52" s="386"/>
      <c r="H52" s="386"/>
      <c r="I52" s="386"/>
      <c r="J52" s="386">
        <f t="shared" si="15"/>
        <v>0</v>
      </c>
      <c r="K52" s="386"/>
      <c r="L52" s="399">
        <v>28</v>
      </c>
      <c r="M52" s="386"/>
      <c r="N52" s="386"/>
      <c r="O52" s="386"/>
      <c r="P52" s="367">
        <f>SUM(J52:O52)</f>
        <v>28</v>
      </c>
    </row>
    <row r="53" spans="1:27">
      <c r="A53" s="422" t="s">
        <v>122</v>
      </c>
      <c r="B53" s="422">
        <v>15</v>
      </c>
      <c r="C53" s="422">
        <v>17</v>
      </c>
      <c r="D53" s="422">
        <v>14</v>
      </c>
      <c r="E53" s="422"/>
      <c r="F53" s="456">
        <v>7</v>
      </c>
      <c r="G53" s="456"/>
      <c r="H53" s="456"/>
      <c r="I53" s="456"/>
      <c r="J53" s="456">
        <f t="shared" si="15"/>
        <v>53</v>
      </c>
      <c r="K53" s="399"/>
      <c r="L53" s="399"/>
      <c r="M53" s="386"/>
      <c r="N53" s="386"/>
      <c r="O53" s="386"/>
      <c r="P53" s="367">
        <f>SUM(J53:O53)</f>
        <v>53</v>
      </c>
      <c r="Q53" s="93" t="s">
        <v>41</v>
      </c>
    </row>
    <row r="54" spans="1:27">
      <c r="A54" s="422" t="s">
        <v>168</v>
      </c>
      <c r="B54" s="422">
        <v>42</v>
      </c>
      <c r="C54" s="422"/>
      <c r="D54" s="422">
        <v>21</v>
      </c>
      <c r="E54" s="422">
        <v>20</v>
      </c>
      <c r="F54" s="456">
        <v>7</v>
      </c>
      <c r="G54" s="456"/>
      <c r="H54" s="456"/>
      <c r="I54" s="456"/>
      <c r="J54" s="456">
        <f t="shared" si="15"/>
        <v>90</v>
      </c>
      <c r="K54" s="399">
        <v>21</v>
      </c>
      <c r="L54" s="399">
        <v>18</v>
      </c>
      <c r="M54" s="386">
        <v>1</v>
      </c>
      <c r="N54" s="386">
        <v>2</v>
      </c>
      <c r="O54" s="386"/>
      <c r="P54" s="367">
        <f t="shared" si="8"/>
        <v>132</v>
      </c>
      <c r="Q54" s="93" t="s">
        <v>41</v>
      </c>
    </row>
    <row r="55" spans="1:27" hidden="1">
      <c r="A55" s="100" t="s">
        <v>23</v>
      </c>
      <c r="B55" s="100"/>
      <c r="C55" s="100"/>
      <c r="D55" s="100"/>
      <c r="E55" s="100"/>
      <c r="F55" s="386"/>
      <c r="G55" s="386"/>
      <c r="H55" s="386"/>
      <c r="I55" s="386"/>
      <c r="J55" s="386">
        <f>SUM(C55:G55)</f>
        <v>0</v>
      </c>
      <c r="K55" s="386"/>
      <c r="L55" s="386"/>
      <c r="M55" s="386"/>
      <c r="N55" s="386"/>
      <c r="O55" s="386"/>
      <c r="P55" s="367">
        <f t="shared" si="8"/>
        <v>0</v>
      </c>
    </row>
    <row r="56" spans="1:27" hidden="1">
      <c r="A56" s="100" t="s">
        <v>24</v>
      </c>
      <c r="B56" s="100"/>
      <c r="C56" s="100"/>
      <c r="D56" s="100"/>
      <c r="E56" s="100"/>
      <c r="F56" s="386"/>
      <c r="G56" s="386"/>
      <c r="H56" s="386"/>
      <c r="I56" s="386"/>
      <c r="J56" s="386">
        <f>SUM(C56:G56)</f>
        <v>0</v>
      </c>
      <c r="K56" s="386"/>
      <c r="L56" s="386"/>
      <c r="M56" s="399">
        <v>12</v>
      </c>
      <c r="N56" s="386"/>
      <c r="O56" s="386"/>
      <c r="P56" s="367">
        <f t="shared" si="8"/>
        <v>12</v>
      </c>
    </row>
    <row r="57" spans="1:27" hidden="1">
      <c r="A57" s="100" t="s">
        <v>110</v>
      </c>
      <c r="B57" s="100"/>
      <c r="C57" s="100"/>
      <c r="D57" s="100"/>
      <c r="E57" s="100"/>
      <c r="F57" s="386"/>
      <c r="G57" s="386"/>
      <c r="H57" s="386"/>
      <c r="I57" s="386"/>
      <c r="J57" s="386">
        <f>SUM(C57:G57)</f>
        <v>0</v>
      </c>
      <c r="K57" s="400">
        <v>162</v>
      </c>
      <c r="L57" s="386"/>
      <c r="M57" s="386">
        <v>97</v>
      </c>
      <c r="N57" s="386"/>
      <c r="O57" s="386"/>
      <c r="P57" s="367">
        <f t="shared" si="8"/>
        <v>259</v>
      </c>
    </row>
    <row r="58" spans="1:27" hidden="1">
      <c r="A58" s="100" t="s">
        <v>144</v>
      </c>
      <c r="B58" s="100"/>
      <c r="C58" s="100"/>
      <c r="D58" s="100"/>
      <c r="E58" s="100"/>
      <c r="F58" s="386"/>
      <c r="G58" s="386"/>
      <c r="H58" s="386"/>
      <c r="I58" s="386"/>
      <c r="J58" s="386">
        <f>SUM(C58:I58)</f>
        <v>0</v>
      </c>
      <c r="K58" s="399">
        <v>69</v>
      </c>
      <c r="L58" s="399"/>
      <c r="M58" s="399"/>
      <c r="N58" s="399"/>
      <c r="O58" s="399"/>
      <c r="P58" s="367">
        <f t="shared" si="8"/>
        <v>69</v>
      </c>
    </row>
    <row r="59" spans="1:27">
      <c r="A59" s="457" t="s">
        <v>25</v>
      </c>
      <c r="B59" s="457"/>
      <c r="C59" s="457">
        <v>48</v>
      </c>
      <c r="D59" s="457">
        <v>41</v>
      </c>
      <c r="E59" s="457">
        <v>17</v>
      </c>
      <c r="F59" s="458">
        <v>16</v>
      </c>
      <c r="G59" s="458"/>
      <c r="H59" s="459"/>
      <c r="I59" s="459"/>
      <c r="J59" s="456">
        <f>SUM(B59:I59)</f>
        <v>122</v>
      </c>
      <c r="K59" s="402">
        <v>35</v>
      </c>
      <c r="L59" s="402">
        <v>98</v>
      </c>
      <c r="M59" s="402">
        <v>34</v>
      </c>
      <c r="N59" s="402">
        <v>14</v>
      </c>
      <c r="O59" s="402"/>
      <c r="P59" s="367">
        <f t="shared" si="8"/>
        <v>303</v>
      </c>
    </row>
    <row r="60" spans="1:27">
      <c r="A60" s="557" t="s">
        <v>3</v>
      </c>
      <c r="B60" s="392">
        <f>SUM(B48:B59)</f>
        <v>106</v>
      </c>
      <c r="C60" s="392">
        <f>SUM(C48:C59)</f>
        <v>120</v>
      </c>
      <c r="D60" s="392">
        <f t="shared" ref="D60:O60" si="16">SUM(D48:D59)</f>
        <v>125</v>
      </c>
      <c r="E60" s="392">
        <f t="shared" si="16"/>
        <v>82</v>
      </c>
      <c r="F60" s="392">
        <f t="shared" si="16"/>
        <v>57</v>
      </c>
      <c r="G60" s="392">
        <f t="shared" si="16"/>
        <v>0</v>
      </c>
      <c r="H60" s="392">
        <f t="shared" si="16"/>
        <v>0</v>
      </c>
      <c r="I60" s="392">
        <f t="shared" si="16"/>
        <v>0</v>
      </c>
      <c r="J60" s="392">
        <f>SUM(J48:J59)</f>
        <v>490</v>
      </c>
      <c r="K60" s="392">
        <f t="shared" si="16"/>
        <v>287</v>
      </c>
      <c r="L60" s="392">
        <f t="shared" si="16"/>
        <v>200</v>
      </c>
      <c r="M60" s="392">
        <f t="shared" si="16"/>
        <v>144</v>
      </c>
      <c r="N60" s="392">
        <f t="shared" si="16"/>
        <v>16</v>
      </c>
      <c r="O60" s="392">
        <f t="shared" si="16"/>
        <v>0</v>
      </c>
      <c r="P60" s="379">
        <f t="shared" si="8"/>
        <v>1137</v>
      </c>
      <c r="Q60" s="403">
        <f>26+48+23+18+56+38</f>
        <v>209</v>
      </c>
      <c r="R60" s="394">
        <f>H60</f>
        <v>0</v>
      </c>
      <c r="S60" s="394"/>
      <c r="T60" s="394"/>
      <c r="U60" s="394"/>
      <c r="V60" s="169">
        <f>J60+J84</f>
        <v>1123</v>
      </c>
      <c r="W60" s="169">
        <f>J58+J59+J62</f>
        <v>403</v>
      </c>
    </row>
    <row r="61" spans="1:27">
      <c r="A61" s="404" t="s">
        <v>26</v>
      </c>
      <c r="B61" s="404"/>
      <c r="C61" s="404"/>
      <c r="D61" s="404"/>
      <c r="E61" s="404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67">
        <f t="shared" si="8"/>
        <v>0</v>
      </c>
    </row>
    <row r="62" spans="1:27">
      <c r="A62" s="422" t="s">
        <v>123</v>
      </c>
      <c r="B62" s="422">
        <v>42</v>
      </c>
      <c r="C62" s="422">
        <v>87</v>
      </c>
      <c r="D62" s="422">
        <v>55</v>
      </c>
      <c r="E62" s="422">
        <v>79</v>
      </c>
      <c r="F62" s="456">
        <v>18</v>
      </c>
      <c r="G62" s="456"/>
      <c r="H62" s="456"/>
      <c r="I62" s="456"/>
      <c r="J62" s="456">
        <f>SUM(B62:I64)</f>
        <v>281</v>
      </c>
      <c r="K62" s="399">
        <v>69</v>
      </c>
      <c r="L62" s="399"/>
      <c r="M62" s="399"/>
      <c r="N62" s="399"/>
      <c r="O62" s="399"/>
      <c r="P62" s="367">
        <f t="shared" si="8"/>
        <v>350</v>
      </c>
      <c r="V62" s="405" t="s">
        <v>149</v>
      </c>
      <c r="W62" s="406" t="s">
        <v>158</v>
      </c>
      <c r="X62" s="407"/>
    </row>
    <row r="63" spans="1:27" hidden="1">
      <c r="A63" s="100" t="s">
        <v>118</v>
      </c>
      <c r="B63" s="100"/>
      <c r="C63" s="100"/>
      <c r="D63" s="100"/>
      <c r="E63" s="100"/>
      <c r="F63" s="386"/>
      <c r="G63" s="386"/>
      <c r="H63" s="386"/>
      <c r="I63" s="386"/>
      <c r="J63" s="386"/>
      <c r="K63" s="399"/>
      <c r="L63" s="399">
        <v>126</v>
      </c>
      <c r="M63" s="399">
        <v>48</v>
      </c>
      <c r="N63" s="399">
        <v>49</v>
      </c>
      <c r="O63" s="399"/>
      <c r="P63" s="367">
        <f t="shared" si="8"/>
        <v>223</v>
      </c>
      <c r="V63" s="408"/>
      <c r="W63" s="409"/>
      <c r="X63" s="410"/>
    </row>
    <row r="64" spans="1:27" hidden="1">
      <c r="A64" s="100" t="s">
        <v>68</v>
      </c>
      <c r="B64" s="100"/>
      <c r="C64" s="100"/>
      <c r="D64" s="100"/>
      <c r="E64" s="100"/>
      <c r="F64" s="386"/>
      <c r="G64" s="386"/>
      <c r="H64" s="386"/>
      <c r="I64" s="386"/>
      <c r="J64" s="386"/>
      <c r="K64" s="386"/>
      <c r="L64" s="399"/>
      <c r="M64" s="386"/>
      <c r="N64" s="386"/>
      <c r="O64" s="386"/>
      <c r="P64" s="367">
        <f t="shared" si="8"/>
        <v>0</v>
      </c>
      <c r="Q64" s="93" t="s">
        <v>70</v>
      </c>
      <c r="V64" s="408"/>
      <c r="W64" s="409"/>
      <c r="X64" s="410"/>
    </row>
    <row r="65" spans="1:25">
      <c r="A65" s="100" t="s">
        <v>143</v>
      </c>
      <c r="B65" s="100"/>
      <c r="C65" s="100"/>
      <c r="D65" s="100"/>
      <c r="E65" s="100"/>
      <c r="F65" s="386"/>
      <c r="G65" s="386"/>
      <c r="H65" s="386"/>
      <c r="I65" s="386"/>
      <c r="J65" s="386">
        <f>SUM(B65:I65)</f>
        <v>0</v>
      </c>
      <c r="K65" s="399">
        <v>69</v>
      </c>
      <c r="L65" s="399"/>
      <c r="M65" s="399"/>
      <c r="N65" s="399"/>
      <c r="O65" s="399"/>
      <c r="P65" s="367">
        <f>SUM(J65:O65)</f>
        <v>69</v>
      </c>
      <c r="V65" s="411">
        <f>J62+J65</f>
        <v>281</v>
      </c>
      <c r="W65" s="412">
        <f>J66+J68+J71+J78+J79+J81+J82</f>
        <v>195</v>
      </c>
      <c r="X65" s="413"/>
    </row>
    <row r="66" spans="1:25">
      <c r="A66" s="422" t="s">
        <v>146</v>
      </c>
      <c r="B66" s="100"/>
      <c r="C66" s="100"/>
      <c r="D66" s="100"/>
      <c r="E66" s="100"/>
      <c r="F66" s="456">
        <v>1</v>
      </c>
      <c r="G66" s="386"/>
      <c r="H66" s="456"/>
      <c r="I66" s="456"/>
      <c r="J66" s="456">
        <f>SUM(B66:I66)</f>
        <v>1</v>
      </c>
      <c r="K66" s="386"/>
      <c r="L66" s="386"/>
      <c r="M66" s="386"/>
      <c r="N66" s="386"/>
      <c r="O66" s="386"/>
      <c r="P66" s="367">
        <f t="shared" si="8"/>
        <v>1</v>
      </c>
      <c r="V66" s="261"/>
    </row>
    <row r="67" spans="1:25" hidden="1">
      <c r="A67" s="100" t="s">
        <v>124</v>
      </c>
      <c r="B67" s="100"/>
      <c r="C67" s="100"/>
      <c r="D67" s="100"/>
      <c r="E67" s="100"/>
      <c r="F67" s="386"/>
      <c r="G67" s="386"/>
      <c r="H67" s="386"/>
      <c r="I67" s="386"/>
      <c r="J67" s="386">
        <f>SUM(C67:H67)</f>
        <v>0</v>
      </c>
      <c r="K67" s="399">
        <v>128</v>
      </c>
      <c r="L67" s="399">
        <v>122</v>
      </c>
      <c r="M67" s="399">
        <v>11</v>
      </c>
      <c r="N67" s="386">
        <v>7</v>
      </c>
      <c r="O67" s="399"/>
      <c r="P67" s="367">
        <f t="shared" si="8"/>
        <v>268</v>
      </c>
      <c r="V67" s="169"/>
      <c r="Y67" s="93">
        <f>2498+60</f>
        <v>2558</v>
      </c>
    </row>
    <row r="68" spans="1:25">
      <c r="A68" s="100" t="s">
        <v>221</v>
      </c>
      <c r="B68" s="100"/>
      <c r="C68" s="100"/>
      <c r="D68" s="100"/>
      <c r="E68" s="100"/>
      <c r="F68" s="386"/>
      <c r="G68" s="386"/>
      <c r="H68" s="386"/>
      <c r="I68" s="386"/>
      <c r="J68" s="386">
        <f>SUM(B68:I68)</f>
        <v>0</v>
      </c>
      <c r="K68" s="399"/>
      <c r="L68" s="399"/>
      <c r="M68" s="399"/>
      <c r="N68" s="386"/>
      <c r="O68" s="386"/>
      <c r="P68" s="367">
        <f t="shared" si="8"/>
        <v>0</v>
      </c>
    </row>
    <row r="69" spans="1:25" hidden="1">
      <c r="A69" s="100" t="s">
        <v>69</v>
      </c>
      <c r="B69" s="100"/>
      <c r="C69" s="100"/>
      <c r="D69" s="100"/>
      <c r="E69" s="100"/>
      <c r="F69" s="386"/>
      <c r="G69" s="386"/>
      <c r="H69" s="386"/>
      <c r="I69" s="386"/>
      <c r="J69" s="386">
        <f>SUM(C69:G69)</f>
        <v>0</v>
      </c>
      <c r="K69" s="386"/>
      <c r="L69" s="399"/>
      <c r="M69" s="399"/>
      <c r="N69" s="386"/>
      <c r="O69" s="386"/>
      <c r="P69" s="367">
        <f t="shared" si="8"/>
        <v>0</v>
      </c>
      <c r="Q69" s="93" t="s">
        <v>70</v>
      </c>
    </row>
    <row r="70" spans="1:25">
      <c r="A70" s="422" t="s">
        <v>42</v>
      </c>
      <c r="B70" s="422">
        <v>58</v>
      </c>
      <c r="C70" s="422">
        <v>53</v>
      </c>
      <c r="D70" s="422">
        <v>12</v>
      </c>
      <c r="E70" s="422">
        <v>2</v>
      </c>
      <c r="F70" s="456">
        <v>3</v>
      </c>
      <c r="G70" s="456"/>
      <c r="H70" s="456"/>
      <c r="I70" s="456"/>
      <c r="J70" s="456">
        <f>SUM(B70:I70)</f>
        <v>128</v>
      </c>
      <c r="K70" s="399"/>
      <c r="L70" s="399"/>
      <c r="M70" s="399"/>
      <c r="N70" s="386"/>
      <c r="O70" s="386"/>
      <c r="P70" s="367">
        <f t="shared" ref="P70" si="17">SUM(J70:O70)</f>
        <v>128</v>
      </c>
    </row>
    <row r="71" spans="1:25">
      <c r="A71" s="422" t="s">
        <v>142</v>
      </c>
      <c r="B71" s="422"/>
      <c r="C71" s="422">
        <v>34</v>
      </c>
      <c r="D71" s="422">
        <v>24</v>
      </c>
      <c r="E71" s="422">
        <v>4</v>
      </c>
      <c r="F71" s="456">
        <v>10</v>
      </c>
      <c r="G71" s="456"/>
      <c r="H71" s="456"/>
      <c r="I71" s="456"/>
      <c r="J71" s="456">
        <f>SUM(B71:I71)</f>
        <v>72</v>
      </c>
      <c r="K71" s="399"/>
      <c r="L71" s="399"/>
      <c r="M71" s="386"/>
      <c r="N71" s="399"/>
      <c r="O71" s="386"/>
      <c r="P71" s="367">
        <f t="shared" si="8"/>
        <v>72</v>
      </c>
    </row>
    <row r="72" spans="1:25" hidden="1">
      <c r="A72" s="100" t="s">
        <v>29</v>
      </c>
      <c r="B72" s="100"/>
      <c r="C72" s="100"/>
      <c r="D72" s="100"/>
      <c r="E72" s="100"/>
      <c r="F72" s="386"/>
      <c r="G72" s="386"/>
      <c r="H72" s="386"/>
      <c r="I72" s="386"/>
      <c r="J72" s="386">
        <f t="shared" ref="J72:J77" si="18">SUM(C72:G72)</f>
        <v>0</v>
      </c>
      <c r="K72" s="399"/>
      <c r="L72" s="386"/>
      <c r="M72" s="386"/>
      <c r="N72" s="386"/>
      <c r="O72" s="386"/>
      <c r="P72" s="367">
        <f t="shared" si="8"/>
        <v>0</v>
      </c>
    </row>
    <row r="73" spans="1:25" hidden="1">
      <c r="A73" s="100" t="s">
        <v>95</v>
      </c>
      <c r="B73" s="100"/>
      <c r="C73" s="100"/>
      <c r="D73" s="100"/>
      <c r="E73" s="100"/>
      <c r="F73" s="386"/>
      <c r="G73" s="386"/>
      <c r="H73" s="386"/>
      <c r="I73" s="386"/>
      <c r="J73" s="386">
        <f t="shared" si="18"/>
        <v>0</v>
      </c>
      <c r="K73" s="399"/>
      <c r="L73" s="386"/>
      <c r="M73" s="386"/>
      <c r="N73" s="386"/>
      <c r="O73" s="386"/>
      <c r="P73" s="367">
        <f t="shared" si="8"/>
        <v>0</v>
      </c>
    </row>
    <row r="74" spans="1:25" hidden="1">
      <c r="A74" s="100" t="s">
        <v>30</v>
      </c>
      <c r="B74" s="100"/>
      <c r="C74" s="100"/>
      <c r="D74" s="100"/>
      <c r="E74" s="100"/>
      <c r="F74" s="386"/>
      <c r="G74" s="386"/>
      <c r="H74" s="386"/>
      <c r="I74" s="386"/>
      <c r="J74" s="386">
        <f t="shared" si="18"/>
        <v>0</v>
      </c>
      <c r="K74" s="386"/>
      <c r="L74" s="386"/>
      <c r="M74" s="386"/>
      <c r="N74" s="386"/>
      <c r="O74" s="386"/>
      <c r="P74" s="367">
        <f t="shared" si="8"/>
        <v>0</v>
      </c>
    </row>
    <row r="75" spans="1:25" hidden="1">
      <c r="A75" s="100" t="s">
        <v>31</v>
      </c>
      <c r="B75" s="100"/>
      <c r="C75" s="100"/>
      <c r="D75" s="100"/>
      <c r="E75" s="100"/>
      <c r="F75" s="386"/>
      <c r="G75" s="386"/>
      <c r="H75" s="386"/>
      <c r="I75" s="386"/>
      <c r="J75" s="386">
        <f t="shared" si="18"/>
        <v>0</v>
      </c>
      <c r="K75" s="386"/>
      <c r="L75" s="386"/>
      <c r="M75" s="386"/>
      <c r="N75" s="386"/>
      <c r="O75" s="386"/>
      <c r="P75" s="367">
        <f t="shared" si="8"/>
        <v>0</v>
      </c>
    </row>
    <row r="76" spans="1:25" hidden="1">
      <c r="A76" s="100" t="s">
        <v>32</v>
      </c>
      <c r="B76" s="100"/>
      <c r="C76" s="100"/>
      <c r="D76" s="100"/>
      <c r="E76" s="100"/>
      <c r="F76" s="386"/>
      <c r="G76" s="386"/>
      <c r="H76" s="386"/>
      <c r="I76" s="386"/>
      <c r="J76" s="386">
        <f t="shared" si="18"/>
        <v>0</v>
      </c>
      <c r="K76" s="386"/>
      <c r="L76" s="399">
        <v>26</v>
      </c>
      <c r="M76" s="399">
        <v>1</v>
      </c>
      <c r="N76" s="386"/>
      <c r="O76" s="386"/>
      <c r="P76" s="367">
        <f t="shared" si="8"/>
        <v>27</v>
      </c>
    </row>
    <row r="77" spans="1:25" hidden="1">
      <c r="A77" s="100" t="s">
        <v>33</v>
      </c>
      <c r="B77" s="100"/>
      <c r="C77" s="100"/>
      <c r="D77" s="100"/>
      <c r="E77" s="100"/>
      <c r="F77" s="386"/>
      <c r="G77" s="386"/>
      <c r="H77" s="386"/>
      <c r="I77" s="386"/>
      <c r="J77" s="386">
        <f t="shared" si="18"/>
        <v>0</v>
      </c>
      <c r="K77" s="386">
        <v>85</v>
      </c>
      <c r="L77" s="386">
        <v>66</v>
      </c>
      <c r="M77" s="399">
        <v>14</v>
      </c>
      <c r="N77" s="386">
        <v>7</v>
      </c>
      <c r="O77" s="386"/>
      <c r="P77" s="367">
        <f t="shared" si="8"/>
        <v>172</v>
      </c>
    </row>
    <row r="78" spans="1:25" hidden="1">
      <c r="A78" s="100" t="s">
        <v>142</v>
      </c>
      <c r="B78" s="100"/>
      <c r="C78" s="100"/>
      <c r="D78" s="100"/>
      <c r="E78" s="100"/>
      <c r="F78" s="386"/>
      <c r="G78" s="386"/>
      <c r="H78" s="386"/>
      <c r="I78" s="386"/>
      <c r="J78" s="386">
        <f>SUM(C78:H78)</f>
        <v>0</v>
      </c>
      <c r="K78" s="399"/>
      <c r="L78" s="399"/>
      <c r="M78" s="386"/>
      <c r="N78" s="399"/>
      <c r="O78" s="386"/>
      <c r="P78" s="367">
        <f>SUM(J78:O78)</f>
        <v>0</v>
      </c>
    </row>
    <row r="79" spans="1:25" hidden="1">
      <c r="A79" s="100" t="s">
        <v>146</v>
      </c>
      <c r="B79" s="100"/>
      <c r="C79" s="100"/>
      <c r="D79" s="100"/>
      <c r="E79" s="100"/>
      <c r="F79" s="386"/>
      <c r="G79" s="386"/>
      <c r="H79" s="386"/>
      <c r="I79" s="386"/>
      <c r="J79" s="386">
        <f>SUM(C79:H79)</f>
        <v>0</v>
      </c>
      <c r="K79" s="386"/>
      <c r="L79" s="386"/>
      <c r="M79" s="386"/>
      <c r="N79" s="386"/>
      <c r="O79" s="386"/>
      <c r="P79" s="367">
        <f>SUM(J79:O79)</f>
        <v>0</v>
      </c>
    </row>
    <row r="80" spans="1:25">
      <c r="A80" s="100" t="s">
        <v>344</v>
      </c>
      <c r="B80" s="422">
        <v>29</v>
      </c>
      <c r="C80" s="422"/>
      <c r="D80" s="422"/>
      <c r="E80" s="422"/>
      <c r="F80" s="456"/>
      <c r="G80" s="456"/>
      <c r="H80" s="456"/>
      <c r="I80" s="456"/>
      <c r="J80" s="456">
        <f>SUM(B80:I80)</f>
        <v>29</v>
      </c>
      <c r="K80" s="399">
        <v>170</v>
      </c>
      <c r="L80" s="399">
        <v>102</v>
      </c>
      <c r="M80" s="399">
        <v>9</v>
      </c>
      <c r="N80" s="386">
        <v>5</v>
      </c>
      <c r="O80" s="386"/>
      <c r="P80" s="367">
        <f>SUM(J80:O80)</f>
        <v>315</v>
      </c>
      <c r="V80" s="169">
        <f>J67</f>
        <v>0</v>
      </c>
      <c r="W80" s="169">
        <f>J61</f>
        <v>0</v>
      </c>
    </row>
    <row r="81" spans="1:24">
      <c r="A81" s="422" t="s">
        <v>141</v>
      </c>
      <c r="B81" s="422">
        <v>41</v>
      </c>
      <c r="C81" s="422">
        <v>43</v>
      </c>
      <c r="D81" s="422">
        <v>19</v>
      </c>
      <c r="E81" s="422">
        <v>10</v>
      </c>
      <c r="F81" s="456">
        <v>9</v>
      </c>
      <c r="G81" s="456"/>
      <c r="H81" s="456"/>
      <c r="I81" s="456"/>
      <c r="J81" s="456">
        <f>SUM(B81:I81)</f>
        <v>122</v>
      </c>
      <c r="K81" s="399">
        <v>170</v>
      </c>
      <c r="L81" s="399">
        <v>102</v>
      </c>
      <c r="M81" s="399">
        <v>9</v>
      </c>
      <c r="N81" s="386">
        <v>5</v>
      </c>
      <c r="O81" s="386"/>
      <c r="P81" s="367">
        <f>SUM(J81:O81)</f>
        <v>408</v>
      </c>
      <c r="V81" s="169">
        <f>J68</f>
        <v>0</v>
      </c>
      <c r="W81" s="169">
        <f>J62</f>
        <v>281</v>
      </c>
    </row>
    <row r="82" spans="1:24" hidden="1">
      <c r="A82" s="100" t="s">
        <v>157</v>
      </c>
      <c r="B82" s="100"/>
      <c r="C82" s="100"/>
      <c r="D82" s="100"/>
      <c r="E82" s="100"/>
      <c r="F82" s="386"/>
      <c r="G82" s="386"/>
      <c r="H82" s="386"/>
      <c r="I82" s="386"/>
      <c r="J82" s="386">
        <f>SUM(C82:H82)</f>
        <v>0</v>
      </c>
      <c r="K82" s="386"/>
      <c r="L82" s="386"/>
      <c r="M82" s="386"/>
      <c r="N82" s="386"/>
      <c r="O82" s="386"/>
      <c r="P82" s="367">
        <f t="shared" si="8"/>
        <v>0</v>
      </c>
    </row>
    <row r="83" spans="1:24" hidden="1">
      <c r="A83" s="401" t="s">
        <v>35</v>
      </c>
      <c r="B83" s="103"/>
      <c r="C83" s="103"/>
      <c r="D83" s="103"/>
      <c r="E83" s="103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>
        <f t="shared" si="8"/>
        <v>0</v>
      </c>
    </row>
    <row r="84" spans="1:24">
      <c r="A84" s="95" t="s">
        <v>3</v>
      </c>
      <c r="B84" s="392">
        <f t="shared" ref="B84:G84" si="19">SUM(B62:B83)</f>
        <v>170</v>
      </c>
      <c r="C84" s="392">
        <f t="shared" si="19"/>
        <v>217</v>
      </c>
      <c r="D84" s="392">
        <f t="shared" si="19"/>
        <v>110</v>
      </c>
      <c r="E84" s="392">
        <f t="shared" si="19"/>
        <v>95</v>
      </c>
      <c r="F84" s="392">
        <f t="shared" si="19"/>
        <v>41</v>
      </c>
      <c r="G84" s="392">
        <f t="shared" si="19"/>
        <v>0</v>
      </c>
      <c r="H84" s="392">
        <f t="shared" ref="H84:O84" si="20">SUM(H62:H83)</f>
        <v>0</v>
      </c>
      <c r="I84" s="392">
        <f t="shared" si="20"/>
        <v>0</v>
      </c>
      <c r="J84" s="392">
        <f t="shared" si="20"/>
        <v>633</v>
      </c>
      <c r="K84" s="392">
        <f t="shared" si="20"/>
        <v>691</v>
      </c>
      <c r="L84" s="392">
        <f t="shared" si="20"/>
        <v>544</v>
      </c>
      <c r="M84" s="392">
        <f t="shared" si="20"/>
        <v>92</v>
      </c>
      <c r="N84" s="392">
        <f t="shared" si="20"/>
        <v>73</v>
      </c>
      <c r="O84" s="392">
        <f t="shared" si="20"/>
        <v>0</v>
      </c>
      <c r="P84" s="392">
        <f t="shared" si="8"/>
        <v>2033</v>
      </c>
      <c r="R84" s="394">
        <f>H84</f>
        <v>0</v>
      </c>
      <c r="S84" s="394"/>
      <c r="T84" s="394"/>
      <c r="V84" s="169">
        <f>J84-(V81+W81)</f>
        <v>352</v>
      </c>
      <c r="W84" s="169">
        <f>J62</f>
        <v>281</v>
      </c>
    </row>
    <row r="85" spans="1:24">
      <c r="A85" s="563" t="s">
        <v>36</v>
      </c>
      <c r="B85" s="414">
        <f t="shared" ref="B85:J85" si="21">SUM(B20,B38,B46,B60,B84,B42)</f>
        <v>331</v>
      </c>
      <c r="C85" s="414">
        <f t="shared" si="21"/>
        <v>376</v>
      </c>
      <c r="D85" s="414">
        <f t="shared" si="21"/>
        <v>255</v>
      </c>
      <c r="E85" s="414">
        <f t="shared" si="21"/>
        <v>215</v>
      </c>
      <c r="F85" s="414">
        <f t="shared" si="21"/>
        <v>110</v>
      </c>
      <c r="G85" s="414">
        <f t="shared" si="21"/>
        <v>0</v>
      </c>
      <c r="H85" s="414">
        <f t="shared" si="21"/>
        <v>0</v>
      </c>
      <c r="I85" s="414">
        <f t="shared" si="21"/>
        <v>0</v>
      </c>
      <c r="J85" s="414">
        <f t="shared" si="21"/>
        <v>1287</v>
      </c>
      <c r="K85" s="414">
        <f t="shared" ref="K85:P85" si="22">SUM(K20,K38,K46,K60,K84)</f>
        <v>1490</v>
      </c>
      <c r="L85" s="414">
        <f t="shared" si="22"/>
        <v>1336</v>
      </c>
      <c r="M85" s="414">
        <f t="shared" si="22"/>
        <v>294</v>
      </c>
      <c r="N85" s="414">
        <f t="shared" si="22"/>
        <v>170</v>
      </c>
      <c r="O85" s="414">
        <f t="shared" si="22"/>
        <v>0</v>
      </c>
      <c r="P85" s="414">
        <f t="shared" si="22"/>
        <v>4542</v>
      </c>
      <c r="Q85" s="93">
        <v>3678</v>
      </c>
      <c r="R85" s="415">
        <f>SUM(R6:R84)</f>
        <v>0</v>
      </c>
      <c r="S85" s="416"/>
      <c r="T85" s="416"/>
      <c r="W85" s="169">
        <f>F85+11+5</f>
        <v>126</v>
      </c>
      <c r="X85" s="169">
        <f>J85+16</f>
        <v>1303</v>
      </c>
    </row>
    <row r="86" spans="1:24">
      <c r="B86" s="169">
        <f>B85+บัณฑิตศึกษา!B41</f>
        <v>705</v>
      </c>
      <c r="G86" s="169">
        <f>J85+บัณฑิตศึกษา!I41</f>
        <v>2327</v>
      </c>
      <c r="J86" s="626">
        <f>S23-S10</f>
        <v>1287</v>
      </c>
      <c r="R86" s="93">
        <f>3554-329</f>
        <v>3225</v>
      </c>
    </row>
    <row r="87" spans="1:24">
      <c r="A87" s="837" t="s">
        <v>353</v>
      </c>
      <c r="B87" s="838"/>
      <c r="C87" s="838"/>
      <c r="D87" s="838"/>
      <c r="G87" s="417"/>
      <c r="H87" s="417"/>
      <c r="I87" s="417"/>
      <c r="J87" s="627">
        <v>1538</v>
      </c>
      <c r="K87" s="471"/>
      <c r="L87" s="471"/>
      <c r="M87" s="471"/>
      <c r="N87" s="471"/>
      <c r="O87" s="471"/>
      <c r="P87" s="547">
        <v>28</v>
      </c>
      <c r="Q87" s="471"/>
      <c r="R87" s="471" t="s">
        <v>317</v>
      </c>
    </row>
    <row r="88" spans="1:24">
      <c r="A88" s="538" t="s">
        <v>294</v>
      </c>
      <c r="B88" s="624"/>
      <c r="G88" s="169"/>
      <c r="J88" s="628">
        <f>J85-J87</f>
        <v>-251</v>
      </c>
      <c r="K88" s="471"/>
      <c r="L88" s="471"/>
      <c r="M88" s="471"/>
      <c r="N88" s="471"/>
      <c r="O88" s="471"/>
      <c r="P88" s="471"/>
      <c r="Q88" s="471"/>
      <c r="R88" s="471" t="s">
        <v>318</v>
      </c>
    </row>
    <row r="89" spans="1:24">
      <c r="A89" s="486"/>
      <c r="B89" s="624"/>
      <c r="J89" s="169"/>
    </row>
    <row r="90" spans="1:24" ht="21.75" thickBot="1">
      <c r="A90" s="487"/>
      <c r="B90" s="624"/>
    </row>
    <row r="91" spans="1:24">
      <c r="A91" s="126" t="s">
        <v>39</v>
      </c>
      <c r="B91" s="126"/>
      <c r="C91" s="169">
        <f>G20</f>
        <v>0</v>
      </c>
      <c r="J91" s="93">
        <v>1436</v>
      </c>
      <c r="V91" s="93">
        <f>3606+153</f>
        <v>3759</v>
      </c>
    </row>
    <row r="92" spans="1:24">
      <c r="A92" s="126" t="s">
        <v>149</v>
      </c>
      <c r="B92" s="126"/>
      <c r="C92" s="169">
        <f>(G38+G60+G84)-C93</f>
        <v>0</v>
      </c>
    </row>
    <row r="93" spans="1:24">
      <c r="A93" s="126" t="s">
        <v>41</v>
      </c>
      <c r="B93" s="126"/>
      <c r="C93" s="93">
        <f>V66</f>
        <v>0</v>
      </c>
      <c r="V93" s="169">
        <f>J85-V91</f>
        <v>-2472</v>
      </c>
    </row>
    <row r="94" spans="1:24">
      <c r="A94" s="126" t="s">
        <v>152</v>
      </c>
      <c r="B94" s="126"/>
      <c r="C94" s="93">
        <v>0</v>
      </c>
      <c r="J94" s="169">
        <f>J85-67</f>
        <v>1220</v>
      </c>
    </row>
    <row r="95" spans="1:24">
      <c r="A95" s="126" t="s">
        <v>150</v>
      </c>
      <c r="B95" s="126"/>
      <c r="C95" s="93">
        <f>บัณฑิตศึกษา!F44</f>
        <v>0</v>
      </c>
    </row>
    <row r="96" spans="1:24">
      <c r="A96" s="126" t="s">
        <v>151</v>
      </c>
      <c r="B96" s="126"/>
      <c r="C96" s="93">
        <f>บัณฑิตศึกษา!F45</f>
        <v>0</v>
      </c>
    </row>
    <row r="97" spans="1:5">
      <c r="C97" s="169">
        <f>SUM(C91:C96)</f>
        <v>0</v>
      </c>
    </row>
    <row r="98" spans="1:5">
      <c r="A98" s="261"/>
      <c r="B98" s="261"/>
      <c r="C98" s="261"/>
      <c r="D98" s="261"/>
    </row>
    <row r="101" spans="1:5">
      <c r="C101" s="93" t="s">
        <v>156</v>
      </c>
      <c r="D101" s="93" t="s">
        <v>155</v>
      </c>
    </row>
    <row r="102" spans="1:5">
      <c r="A102" s="126" t="s">
        <v>207</v>
      </c>
      <c r="B102" s="126"/>
    </row>
    <row r="103" spans="1:5">
      <c r="A103" s="126" t="s">
        <v>65</v>
      </c>
      <c r="B103" s="126"/>
    </row>
    <row r="104" spans="1:5">
      <c r="A104" s="126" t="s">
        <v>208</v>
      </c>
      <c r="B104" s="126"/>
      <c r="C104" s="169">
        <f>R46+R42+R38</f>
        <v>0</v>
      </c>
      <c r="D104" s="169">
        <f>R84+R60</f>
        <v>0</v>
      </c>
      <c r="E104" s="169">
        <f>SUM(C104:D104)</f>
        <v>0</v>
      </c>
    </row>
    <row r="105" spans="1:5">
      <c r="A105" s="126" t="s">
        <v>209</v>
      </c>
      <c r="B105" s="126"/>
    </row>
    <row r="106" spans="1:5">
      <c r="A106" s="126" t="s">
        <v>134</v>
      </c>
      <c r="B106" s="126"/>
    </row>
    <row r="107" spans="1:5">
      <c r="A107" s="126" t="s">
        <v>3</v>
      </c>
      <c r="B107" s="126"/>
    </row>
  </sheetData>
  <mergeCells count="11">
    <mergeCell ref="R6:X6"/>
    <mergeCell ref="A1:Q1"/>
    <mergeCell ref="C2:I2"/>
    <mergeCell ref="J2:J3"/>
    <mergeCell ref="A3:A4"/>
    <mergeCell ref="P3:P4"/>
    <mergeCell ref="A87:D87"/>
    <mergeCell ref="R8:R9"/>
    <mergeCell ref="S8:W8"/>
    <mergeCell ref="X8:X9"/>
    <mergeCell ref="S23:U23"/>
  </mergeCells>
  <printOptions horizontalCentered="1"/>
  <pageMargins left="0.62992125984251968" right="0.59055118110236227" top="0.59055118110236227" bottom="0.39370078740157483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217"/>
  <sheetViews>
    <sheetView view="pageBreakPreview" zoomScaleSheetLayoutView="100" workbookViewId="0">
      <pane ySplit="4" topLeftCell="A23" activePane="bottomLeft" state="frozen"/>
      <selection pane="bottomLeft" activeCell="I41" sqref="I41"/>
    </sheetView>
  </sheetViews>
  <sheetFormatPr defaultRowHeight="21" customHeight="1"/>
  <cols>
    <col min="1" max="1" width="43" style="93" customWidth="1"/>
    <col min="2" max="3" width="7.42578125" style="93" hidden="1" customWidth="1"/>
    <col min="4" max="4" width="7.42578125" style="126" hidden="1" customWidth="1"/>
    <col min="5" max="8" width="7.42578125" style="112" hidden="1" customWidth="1"/>
    <col min="9" max="9" width="9.85546875" style="112" customWidth="1"/>
    <col min="10" max="10" width="12.42578125" style="112" customWidth="1"/>
    <col min="11" max="15" width="7.42578125" style="112" customWidth="1"/>
    <col min="16" max="25" width="7.42578125" style="93" customWidth="1"/>
    <col min="26" max="16384" width="9.140625" style="93"/>
  </cols>
  <sheetData>
    <row r="1" spans="1:25" ht="21" customHeight="1">
      <c r="A1" s="787" t="s">
        <v>397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</row>
    <row r="2" spans="1:25" ht="21" customHeight="1">
      <c r="A2" s="794"/>
      <c r="B2" s="794"/>
      <c r="C2" s="794"/>
      <c r="D2" s="794"/>
      <c r="E2" s="794"/>
      <c r="F2" s="794"/>
      <c r="G2" s="794"/>
      <c r="H2" s="794"/>
      <c r="I2" s="794"/>
      <c r="J2" s="741"/>
      <c r="K2" s="741"/>
      <c r="L2" s="741"/>
      <c r="M2" s="741"/>
      <c r="N2" s="741"/>
      <c r="O2" s="741"/>
    </row>
    <row r="3" spans="1:25" ht="21" customHeight="1">
      <c r="A3" s="788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854" t="s">
        <v>355</v>
      </c>
      <c r="J3" s="849" t="s">
        <v>363</v>
      </c>
      <c r="K3" s="853" t="s">
        <v>361</v>
      </c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</row>
    <row r="4" spans="1:25" ht="21" customHeight="1">
      <c r="A4" s="848"/>
      <c r="B4" s="655"/>
      <c r="C4" s="656"/>
      <c r="D4" s="657"/>
      <c r="E4" s="657"/>
      <c r="F4" s="657"/>
      <c r="G4" s="657"/>
      <c r="H4" s="657"/>
      <c r="I4" s="872"/>
      <c r="J4" s="850"/>
      <c r="K4" s="658" t="s">
        <v>356</v>
      </c>
      <c r="L4" s="658" t="s">
        <v>357</v>
      </c>
      <c r="M4" s="658" t="s">
        <v>358</v>
      </c>
      <c r="N4" s="658" t="s">
        <v>359</v>
      </c>
      <c r="O4" s="658" t="s">
        <v>360</v>
      </c>
      <c r="P4" s="747" t="s">
        <v>386</v>
      </c>
      <c r="Q4" s="747" t="s">
        <v>387</v>
      </c>
      <c r="R4" s="747" t="s">
        <v>388</v>
      </c>
      <c r="S4" s="747" t="s">
        <v>389</v>
      </c>
      <c r="T4" s="747" t="s">
        <v>390</v>
      </c>
      <c r="U4" s="747" t="s">
        <v>391</v>
      </c>
      <c r="V4" s="747" t="s">
        <v>392</v>
      </c>
      <c r="W4" s="747" t="s">
        <v>393</v>
      </c>
      <c r="X4" s="747" t="s">
        <v>394</v>
      </c>
      <c r="Y4" s="747" t="s">
        <v>395</v>
      </c>
    </row>
    <row r="5" spans="1:25" ht="21" customHeight="1">
      <c r="A5" s="505" t="s">
        <v>5</v>
      </c>
      <c r="B5" s="742">
        <f t="shared" ref="B5:H5" si="0">SUM(B25,B28,B36)</f>
        <v>321</v>
      </c>
      <c r="C5" s="742">
        <f t="shared" si="0"/>
        <v>515</v>
      </c>
      <c r="D5" s="742">
        <f t="shared" si="0"/>
        <v>539</v>
      </c>
      <c r="E5" s="742">
        <f t="shared" si="0"/>
        <v>623</v>
      </c>
      <c r="F5" s="742">
        <f t="shared" si="0"/>
        <v>519</v>
      </c>
      <c r="G5" s="742">
        <f t="shared" si="0"/>
        <v>2</v>
      </c>
      <c r="H5" s="742">
        <f t="shared" si="0"/>
        <v>0</v>
      </c>
      <c r="I5" s="742">
        <f>SUM(I25,I28,I36)</f>
        <v>2519</v>
      </c>
      <c r="J5" s="742">
        <f>SUM(J25,J28,J36)</f>
        <v>321</v>
      </c>
      <c r="K5" s="742">
        <f t="shared" ref="K5:Y5" si="1">SUM(K25,K28,K36)</f>
        <v>300</v>
      </c>
      <c r="L5" s="742">
        <f t="shared" si="1"/>
        <v>330</v>
      </c>
      <c r="M5" s="742">
        <f t="shared" si="1"/>
        <v>360</v>
      </c>
      <c r="N5" s="742">
        <f t="shared" si="1"/>
        <v>360</v>
      </c>
      <c r="O5" s="742">
        <f t="shared" si="1"/>
        <v>360</v>
      </c>
      <c r="P5" s="742">
        <f t="shared" si="1"/>
        <v>0</v>
      </c>
      <c r="Q5" s="742">
        <f t="shared" si="1"/>
        <v>0</v>
      </c>
      <c r="R5" s="742">
        <f t="shared" si="1"/>
        <v>0</v>
      </c>
      <c r="S5" s="742">
        <f t="shared" si="1"/>
        <v>0</v>
      </c>
      <c r="T5" s="742">
        <f t="shared" si="1"/>
        <v>0</v>
      </c>
      <c r="U5" s="742">
        <f t="shared" si="1"/>
        <v>0</v>
      </c>
      <c r="V5" s="742">
        <f t="shared" si="1"/>
        <v>0</v>
      </c>
      <c r="W5" s="742">
        <f t="shared" si="1"/>
        <v>0</v>
      </c>
      <c r="X5" s="742">
        <f t="shared" si="1"/>
        <v>0</v>
      </c>
      <c r="Y5" s="742">
        <f t="shared" si="1"/>
        <v>0</v>
      </c>
    </row>
    <row r="6" spans="1:25" ht="21" customHeight="1">
      <c r="A6" s="659" t="s">
        <v>136</v>
      </c>
      <c r="B6" s="659">
        <v>27</v>
      </c>
      <c r="C6" s="660">
        <v>39</v>
      </c>
      <c r="D6" s="661">
        <v>52</v>
      </c>
      <c r="E6" s="662">
        <v>55</v>
      </c>
      <c r="F6" s="662">
        <v>54</v>
      </c>
      <c r="G6" s="662"/>
      <c r="H6" s="663"/>
      <c r="I6" s="662">
        <f>SUM(B6:H6)</f>
        <v>227</v>
      </c>
      <c r="J6" s="662">
        <f t="shared" ref="J6:J19" si="2">B6</f>
        <v>27</v>
      </c>
      <c r="K6" s="662">
        <v>30</v>
      </c>
      <c r="L6" s="662">
        <v>30</v>
      </c>
      <c r="M6" s="662">
        <v>30</v>
      </c>
      <c r="N6" s="662">
        <v>30</v>
      </c>
      <c r="O6" s="748">
        <v>30</v>
      </c>
      <c r="P6" s="735"/>
      <c r="Q6" s="735"/>
      <c r="R6" s="735"/>
      <c r="S6" s="735"/>
      <c r="T6" s="735"/>
      <c r="U6" s="735"/>
      <c r="V6" s="735"/>
      <c r="W6" s="735"/>
      <c r="X6" s="735"/>
      <c r="Y6" s="735"/>
    </row>
    <row r="7" spans="1:25" ht="21" customHeight="1">
      <c r="A7" s="250" t="s">
        <v>6</v>
      </c>
      <c r="B7" s="250">
        <v>35</v>
      </c>
      <c r="C7" s="368">
        <v>45</v>
      </c>
      <c r="D7" s="251">
        <v>52</v>
      </c>
      <c r="E7" s="252">
        <v>48</v>
      </c>
      <c r="F7" s="252">
        <v>51</v>
      </c>
      <c r="G7" s="252"/>
      <c r="H7" s="594"/>
      <c r="I7" s="252">
        <f>SUM(B7:H7)</f>
        <v>231</v>
      </c>
      <c r="J7" s="252">
        <f t="shared" si="2"/>
        <v>35</v>
      </c>
      <c r="K7" s="252">
        <v>30</v>
      </c>
      <c r="L7" s="252">
        <v>30</v>
      </c>
      <c r="M7" s="252">
        <v>30</v>
      </c>
      <c r="N7" s="252">
        <v>30</v>
      </c>
      <c r="O7" s="749">
        <v>30</v>
      </c>
      <c r="P7" s="691"/>
      <c r="Q7" s="691"/>
      <c r="R7" s="691"/>
      <c r="S7" s="691"/>
      <c r="T7" s="691"/>
      <c r="U7" s="691"/>
      <c r="V7" s="691"/>
      <c r="W7" s="691"/>
      <c r="X7" s="691"/>
      <c r="Y7" s="691"/>
    </row>
    <row r="8" spans="1:25" ht="21" customHeight="1">
      <c r="A8" s="250" t="s">
        <v>7</v>
      </c>
      <c r="B8" s="250">
        <v>34</v>
      </c>
      <c r="C8" s="368">
        <v>49</v>
      </c>
      <c r="D8" s="251">
        <v>55</v>
      </c>
      <c r="E8" s="252">
        <v>59</v>
      </c>
      <c r="F8" s="252">
        <v>51</v>
      </c>
      <c r="G8" s="252"/>
      <c r="H8" s="594"/>
      <c r="I8" s="252">
        <f t="shared" ref="I8:I18" si="3">SUM(B8:H8)</f>
        <v>248</v>
      </c>
      <c r="J8" s="252">
        <f t="shared" si="2"/>
        <v>34</v>
      </c>
      <c r="K8" s="252">
        <v>30</v>
      </c>
      <c r="L8" s="252">
        <v>30</v>
      </c>
      <c r="M8" s="252">
        <v>30</v>
      </c>
      <c r="N8" s="252">
        <v>30</v>
      </c>
      <c r="O8" s="749">
        <v>30</v>
      </c>
      <c r="P8" s="691"/>
      <c r="Q8" s="691"/>
      <c r="R8" s="691"/>
      <c r="S8" s="691"/>
      <c r="T8" s="691"/>
      <c r="U8" s="691"/>
      <c r="V8" s="691"/>
      <c r="W8" s="691"/>
      <c r="X8" s="691"/>
      <c r="Y8" s="691"/>
    </row>
    <row r="9" spans="1:25" ht="21" customHeight="1">
      <c r="A9" s="250" t="s">
        <v>135</v>
      </c>
      <c r="B9" s="250">
        <v>34</v>
      </c>
      <c r="C9" s="368">
        <v>43</v>
      </c>
      <c r="D9" s="251">
        <v>54</v>
      </c>
      <c r="E9" s="252">
        <v>49</v>
      </c>
      <c r="F9" s="252">
        <v>38</v>
      </c>
      <c r="G9" s="252"/>
      <c r="H9" s="594"/>
      <c r="I9" s="252">
        <f t="shared" si="3"/>
        <v>218</v>
      </c>
      <c r="J9" s="252">
        <f t="shared" si="2"/>
        <v>34</v>
      </c>
      <c r="K9" s="252">
        <v>30</v>
      </c>
      <c r="L9" s="252">
        <v>30</v>
      </c>
      <c r="M9" s="252">
        <v>30</v>
      </c>
      <c r="N9" s="252">
        <v>30</v>
      </c>
      <c r="O9" s="749">
        <v>30</v>
      </c>
      <c r="P9" s="691"/>
      <c r="Q9" s="691"/>
      <c r="R9" s="691"/>
      <c r="S9" s="691"/>
      <c r="T9" s="691"/>
      <c r="U9" s="691"/>
      <c r="V9" s="691"/>
      <c r="W9" s="691"/>
      <c r="X9" s="691"/>
      <c r="Y9" s="691"/>
    </row>
    <row r="10" spans="1:25" ht="21" customHeight="1">
      <c r="A10" s="250" t="s">
        <v>8</v>
      </c>
      <c r="B10" s="250">
        <v>36</v>
      </c>
      <c r="C10" s="368">
        <v>45</v>
      </c>
      <c r="D10" s="251">
        <v>51</v>
      </c>
      <c r="E10" s="252">
        <v>53</v>
      </c>
      <c r="F10" s="252">
        <v>46</v>
      </c>
      <c r="G10" s="252"/>
      <c r="H10" s="594"/>
      <c r="I10" s="252">
        <f t="shared" si="3"/>
        <v>231</v>
      </c>
      <c r="J10" s="252">
        <f t="shared" si="2"/>
        <v>36</v>
      </c>
      <c r="K10" s="252">
        <v>30</v>
      </c>
      <c r="L10" s="252">
        <v>30</v>
      </c>
      <c r="M10" s="252">
        <v>30</v>
      </c>
      <c r="N10" s="252">
        <v>30</v>
      </c>
      <c r="O10" s="749">
        <v>30</v>
      </c>
      <c r="P10" s="691"/>
      <c r="Q10" s="691"/>
      <c r="R10" s="691"/>
      <c r="S10" s="691"/>
      <c r="T10" s="691"/>
      <c r="U10" s="691"/>
      <c r="V10" s="691"/>
      <c r="W10" s="691"/>
      <c r="X10" s="691"/>
      <c r="Y10" s="691"/>
    </row>
    <row r="11" spans="1:25" ht="21" customHeight="1">
      <c r="A11" s="250" t="s">
        <v>9</v>
      </c>
      <c r="B11" s="250">
        <v>31</v>
      </c>
      <c r="C11" s="368">
        <v>44</v>
      </c>
      <c r="D11" s="251">
        <v>42</v>
      </c>
      <c r="E11" s="252">
        <v>42</v>
      </c>
      <c r="F11" s="252">
        <v>40</v>
      </c>
      <c r="G11" s="252"/>
      <c r="H11" s="594"/>
      <c r="I11" s="252">
        <f t="shared" si="3"/>
        <v>199</v>
      </c>
      <c r="J11" s="252">
        <f t="shared" si="2"/>
        <v>31</v>
      </c>
      <c r="K11" s="252">
        <v>30</v>
      </c>
      <c r="L11" s="252">
        <v>30</v>
      </c>
      <c r="M11" s="252">
        <v>30</v>
      </c>
      <c r="N11" s="252">
        <v>30</v>
      </c>
      <c r="O11" s="749">
        <v>30</v>
      </c>
      <c r="P11" s="691"/>
      <c r="Q11" s="691"/>
      <c r="R11" s="691"/>
      <c r="S11" s="691"/>
      <c r="T11" s="691"/>
      <c r="U11" s="691"/>
      <c r="V11" s="691"/>
      <c r="W11" s="691"/>
      <c r="X11" s="691"/>
      <c r="Y11" s="691"/>
    </row>
    <row r="12" spans="1:25" ht="21" customHeight="1">
      <c r="A12" s="250" t="s">
        <v>238</v>
      </c>
      <c r="B12" s="250">
        <v>30</v>
      </c>
      <c r="C12" s="649">
        <v>38</v>
      </c>
      <c r="D12" s="650">
        <v>45</v>
      </c>
      <c r="E12" s="651">
        <v>43</v>
      </c>
      <c r="F12" s="252">
        <v>52</v>
      </c>
      <c r="G12" s="252"/>
      <c r="H12" s="594"/>
      <c r="I12" s="252">
        <f t="shared" si="3"/>
        <v>208</v>
      </c>
      <c r="J12" s="252">
        <f t="shared" si="2"/>
        <v>30</v>
      </c>
      <c r="K12" s="252">
        <v>0</v>
      </c>
      <c r="L12" s="252">
        <v>0</v>
      </c>
      <c r="M12" s="252">
        <v>30</v>
      </c>
      <c r="N12" s="252">
        <v>30</v>
      </c>
      <c r="O12" s="749">
        <v>30</v>
      </c>
      <c r="P12" s="691"/>
      <c r="Q12" s="691"/>
      <c r="R12" s="691"/>
      <c r="S12" s="691"/>
      <c r="T12" s="691"/>
      <c r="U12" s="691"/>
      <c r="V12" s="691"/>
      <c r="W12" s="691"/>
      <c r="X12" s="691"/>
      <c r="Y12" s="691"/>
    </row>
    <row r="13" spans="1:25" ht="21" customHeight="1">
      <c r="A13" s="250" t="s">
        <v>56</v>
      </c>
      <c r="B13" s="250">
        <v>30</v>
      </c>
      <c r="C13" s="368">
        <v>37</v>
      </c>
      <c r="D13" s="251">
        <v>47</v>
      </c>
      <c r="E13" s="252">
        <v>47</v>
      </c>
      <c r="F13" s="252">
        <v>41</v>
      </c>
      <c r="G13" s="252"/>
      <c r="H13" s="594"/>
      <c r="I13" s="252">
        <f t="shared" si="3"/>
        <v>202</v>
      </c>
      <c r="J13" s="252">
        <f t="shared" si="2"/>
        <v>30</v>
      </c>
      <c r="K13" s="252">
        <v>30</v>
      </c>
      <c r="L13" s="252">
        <v>30</v>
      </c>
      <c r="M13" s="252">
        <v>30</v>
      </c>
      <c r="N13" s="252">
        <v>30</v>
      </c>
      <c r="O13" s="749">
        <v>30</v>
      </c>
      <c r="P13" s="691"/>
      <c r="Q13" s="691"/>
      <c r="R13" s="691"/>
      <c r="S13" s="691"/>
      <c r="T13" s="691"/>
      <c r="U13" s="691"/>
      <c r="V13" s="691"/>
      <c r="W13" s="691"/>
      <c r="X13" s="691"/>
      <c r="Y13" s="691"/>
    </row>
    <row r="14" spans="1:25" ht="21" customHeight="1">
      <c r="A14" s="250" t="s">
        <v>96</v>
      </c>
      <c r="B14" s="250">
        <v>33</v>
      </c>
      <c r="C14" s="368">
        <v>43</v>
      </c>
      <c r="D14" s="251">
        <v>50</v>
      </c>
      <c r="E14" s="252">
        <v>41</v>
      </c>
      <c r="F14" s="252">
        <v>39</v>
      </c>
      <c r="G14" s="252"/>
      <c r="H14" s="594"/>
      <c r="I14" s="252">
        <f t="shared" si="3"/>
        <v>206</v>
      </c>
      <c r="J14" s="252">
        <f t="shared" si="2"/>
        <v>33</v>
      </c>
      <c r="K14" s="252">
        <v>30</v>
      </c>
      <c r="L14" s="252">
        <v>30</v>
      </c>
      <c r="M14" s="252">
        <v>30</v>
      </c>
      <c r="N14" s="252">
        <v>30</v>
      </c>
      <c r="O14" s="749">
        <v>30</v>
      </c>
      <c r="P14" s="691"/>
      <c r="Q14" s="691"/>
      <c r="R14" s="691"/>
      <c r="S14" s="691"/>
      <c r="T14" s="691"/>
      <c r="U14" s="691"/>
      <c r="V14" s="691"/>
      <c r="W14" s="691"/>
      <c r="X14" s="691"/>
      <c r="Y14" s="691"/>
    </row>
    <row r="15" spans="1:25" ht="21" customHeight="1">
      <c r="A15" s="250" t="s">
        <v>119</v>
      </c>
      <c r="B15" s="250"/>
      <c r="C15" s="368">
        <v>50</v>
      </c>
      <c r="D15" s="251">
        <v>44</v>
      </c>
      <c r="E15" s="252">
        <v>39</v>
      </c>
      <c r="F15" s="252">
        <v>42</v>
      </c>
      <c r="G15" s="252"/>
      <c r="H15" s="594"/>
      <c r="I15" s="252">
        <f t="shared" si="3"/>
        <v>175</v>
      </c>
      <c r="J15" s="252">
        <f t="shared" si="2"/>
        <v>0</v>
      </c>
      <c r="K15" s="252">
        <v>0</v>
      </c>
      <c r="L15" s="252">
        <v>0</v>
      </c>
      <c r="M15" s="252">
        <v>0</v>
      </c>
      <c r="N15" s="252">
        <v>0</v>
      </c>
      <c r="O15" s="749">
        <v>0</v>
      </c>
      <c r="P15" s="691"/>
      <c r="Q15" s="691"/>
      <c r="R15" s="691"/>
      <c r="S15" s="691"/>
      <c r="T15" s="691"/>
      <c r="U15" s="691"/>
      <c r="V15" s="691"/>
      <c r="W15" s="691"/>
      <c r="X15" s="691"/>
      <c r="Y15" s="691"/>
    </row>
    <row r="16" spans="1:25" ht="21" customHeight="1">
      <c r="A16" s="250" t="s">
        <v>12</v>
      </c>
      <c r="B16" s="250"/>
      <c r="C16" s="368"/>
      <c r="D16" s="251"/>
      <c r="E16" s="252">
        <v>26</v>
      </c>
      <c r="F16" s="252"/>
      <c r="G16" s="252"/>
      <c r="H16" s="594"/>
      <c r="I16" s="252">
        <f t="shared" si="3"/>
        <v>26</v>
      </c>
      <c r="J16" s="252">
        <f t="shared" si="2"/>
        <v>0</v>
      </c>
      <c r="K16" s="252">
        <v>0</v>
      </c>
      <c r="L16" s="252">
        <v>0</v>
      </c>
      <c r="M16" s="252">
        <v>0</v>
      </c>
      <c r="N16" s="252">
        <v>0</v>
      </c>
      <c r="O16" s="749">
        <v>0</v>
      </c>
      <c r="P16" s="691"/>
      <c r="Q16" s="691"/>
      <c r="R16" s="691"/>
      <c r="S16" s="691"/>
      <c r="T16" s="691"/>
      <c r="U16" s="691"/>
      <c r="V16" s="691"/>
      <c r="W16" s="691"/>
      <c r="X16" s="691"/>
      <c r="Y16" s="691"/>
    </row>
    <row r="17" spans="1:25" ht="21" customHeight="1">
      <c r="A17" s="250" t="s">
        <v>13</v>
      </c>
      <c r="B17" s="250"/>
      <c r="C17" s="368"/>
      <c r="D17" s="251"/>
      <c r="E17" s="252">
        <v>39</v>
      </c>
      <c r="F17" s="252"/>
      <c r="G17" s="252"/>
      <c r="H17" s="594"/>
      <c r="I17" s="252">
        <f t="shared" si="3"/>
        <v>39</v>
      </c>
      <c r="J17" s="252">
        <f t="shared" si="2"/>
        <v>0</v>
      </c>
      <c r="K17" s="252">
        <v>30</v>
      </c>
      <c r="L17" s="252">
        <v>30</v>
      </c>
      <c r="M17" s="252">
        <v>30</v>
      </c>
      <c r="N17" s="252">
        <v>30</v>
      </c>
      <c r="O17" s="749">
        <v>30</v>
      </c>
      <c r="P17" s="691"/>
      <c r="Q17" s="691"/>
      <c r="R17" s="691"/>
      <c r="S17" s="691"/>
      <c r="T17" s="691"/>
      <c r="U17" s="691"/>
      <c r="V17" s="691"/>
      <c r="W17" s="691"/>
      <c r="X17" s="691"/>
      <c r="Y17" s="691"/>
    </row>
    <row r="18" spans="1:25" ht="21" customHeight="1">
      <c r="A18" s="250" t="s">
        <v>165</v>
      </c>
      <c r="B18" s="250"/>
      <c r="C18" s="368">
        <v>40</v>
      </c>
      <c r="D18" s="251">
        <v>42</v>
      </c>
      <c r="E18" s="252">
        <v>42</v>
      </c>
      <c r="F18" s="252">
        <v>31</v>
      </c>
      <c r="G18" s="252"/>
      <c r="H18" s="594"/>
      <c r="I18" s="252">
        <f t="shared" si="3"/>
        <v>155</v>
      </c>
      <c r="J18" s="252">
        <f t="shared" si="2"/>
        <v>0</v>
      </c>
      <c r="K18" s="252">
        <v>0</v>
      </c>
      <c r="L18" s="252">
        <v>30</v>
      </c>
      <c r="M18" s="252">
        <v>30</v>
      </c>
      <c r="N18" s="252">
        <v>30</v>
      </c>
      <c r="O18" s="749">
        <v>30</v>
      </c>
      <c r="P18" s="691"/>
      <c r="Q18" s="691"/>
      <c r="R18" s="691"/>
      <c r="S18" s="691"/>
      <c r="T18" s="691"/>
      <c r="U18" s="691"/>
      <c r="V18" s="691"/>
      <c r="W18" s="691"/>
      <c r="X18" s="691"/>
      <c r="Y18" s="691"/>
    </row>
    <row r="19" spans="1:25" ht="21" customHeight="1">
      <c r="A19" s="307" t="s">
        <v>164</v>
      </c>
      <c r="B19" s="307">
        <v>26</v>
      </c>
      <c r="C19" s="728">
        <v>42</v>
      </c>
      <c r="D19" s="757"/>
      <c r="E19" s="716">
        <v>40</v>
      </c>
      <c r="F19" s="716">
        <v>31</v>
      </c>
      <c r="G19" s="716"/>
      <c r="H19" s="758"/>
      <c r="I19" s="716">
        <f>SUM(B19:H19)</f>
        <v>139</v>
      </c>
      <c r="J19" s="716">
        <f t="shared" si="2"/>
        <v>26</v>
      </c>
      <c r="K19" s="716">
        <v>30</v>
      </c>
      <c r="L19" s="716">
        <v>30</v>
      </c>
      <c r="M19" s="716">
        <v>30</v>
      </c>
      <c r="N19" s="716">
        <v>30</v>
      </c>
      <c r="O19" s="716">
        <v>30</v>
      </c>
      <c r="P19" s="693"/>
      <c r="Q19" s="693"/>
      <c r="R19" s="693"/>
      <c r="S19" s="693"/>
      <c r="T19" s="693"/>
      <c r="U19" s="693"/>
      <c r="V19" s="693"/>
      <c r="W19" s="693"/>
      <c r="X19" s="693"/>
      <c r="Y19" s="693"/>
    </row>
    <row r="20" spans="1:25" ht="21" customHeight="1">
      <c r="A20" s="681" t="s">
        <v>396</v>
      </c>
      <c r="B20" s="250"/>
      <c r="C20" s="368"/>
      <c r="D20" s="251"/>
      <c r="E20" s="252"/>
      <c r="F20" s="252"/>
      <c r="G20" s="252"/>
      <c r="H20" s="594"/>
      <c r="I20" s="252"/>
      <c r="J20" s="252"/>
      <c r="K20" s="252"/>
      <c r="L20" s="252"/>
      <c r="M20" s="252"/>
      <c r="N20" s="252"/>
      <c r="O20" s="252"/>
      <c r="P20" s="691"/>
      <c r="Q20" s="691"/>
      <c r="R20" s="691"/>
      <c r="S20" s="691"/>
      <c r="T20" s="691"/>
      <c r="U20" s="691"/>
      <c r="V20" s="691"/>
      <c r="W20" s="691"/>
      <c r="X20" s="691"/>
      <c r="Y20" s="691"/>
    </row>
    <row r="21" spans="1:25" ht="21" customHeight="1">
      <c r="A21" s="250"/>
      <c r="B21" s="250"/>
      <c r="C21" s="368"/>
      <c r="D21" s="251"/>
      <c r="E21" s="252"/>
      <c r="F21" s="252"/>
      <c r="G21" s="252"/>
      <c r="H21" s="594"/>
      <c r="I21" s="252"/>
      <c r="J21" s="252"/>
      <c r="K21" s="252"/>
      <c r="L21" s="252"/>
      <c r="M21" s="252"/>
      <c r="N21" s="252"/>
      <c r="O21" s="252"/>
      <c r="P21" s="691"/>
      <c r="Q21" s="691"/>
      <c r="R21" s="691"/>
      <c r="S21" s="691"/>
      <c r="T21" s="691"/>
      <c r="U21" s="691"/>
      <c r="V21" s="691"/>
      <c r="W21" s="691"/>
      <c r="X21" s="691"/>
      <c r="Y21" s="691"/>
    </row>
    <row r="22" spans="1:25" ht="21" customHeight="1">
      <c r="A22" s="96"/>
      <c r="B22" s="96"/>
      <c r="C22" s="376"/>
      <c r="D22" s="122"/>
      <c r="E22" s="107"/>
      <c r="F22" s="107"/>
      <c r="G22" s="107"/>
      <c r="H22" s="755"/>
      <c r="I22" s="107"/>
      <c r="J22" s="107"/>
      <c r="K22" s="107"/>
      <c r="L22" s="107"/>
      <c r="M22" s="107"/>
      <c r="N22" s="107"/>
      <c r="O22" s="107"/>
      <c r="P22" s="692"/>
      <c r="Q22" s="692"/>
      <c r="R22" s="692"/>
      <c r="S22" s="692"/>
      <c r="T22" s="692"/>
      <c r="U22" s="692"/>
      <c r="V22" s="692"/>
      <c r="W22" s="692"/>
      <c r="X22" s="692"/>
      <c r="Y22" s="692"/>
    </row>
    <row r="23" spans="1:25" ht="21" customHeight="1">
      <c r="A23" s="250"/>
      <c r="B23" s="250"/>
      <c r="C23" s="368"/>
      <c r="D23" s="251"/>
      <c r="E23" s="252"/>
      <c r="F23" s="252"/>
      <c r="G23" s="252"/>
      <c r="H23" s="594"/>
      <c r="I23" s="252"/>
      <c r="J23" s="252"/>
      <c r="K23" s="252"/>
      <c r="L23" s="252"/>
      <c r="M23" s="252"/>
      <c r="N23" s="252"/>
      <c r="O23" s="252"/>
      <c r="P23" s="691"/>
      <c r="Q23" s="691"/>
      <c r="R23" s="691"/>
      <c r="S23" s="691"/>
      <c r="T23" s="691"/>
      <c r="U23" s="691"/>
      <c r="V23" s="691"/>
      <c r="W23" s="691"/>
      <c r="X23" s="691"/>
      <c r="Y23" s="691"/>
    </row>
    <row r="24" spans="1:25" ht="21" customHeight="1">
      <c r="A24" s="665"/>
      <c r="B24" s="665"/>
      <c r="C24" s="666"/>
      <c r="D24" s="667"/>
      <c r="E24" s="668"/>
      <c r="F24" s="668"/>
      <c r="G24" s="668"/>
      <c r="H24" s="669"/>
      <c r="I24" s="668"/>
      <c r="J24" s="668"/>
      <c r="K24" s="668"/>
      <c r="L24" s="668"/>
      <c r="M24" s="668"/>
      <c r="N24" s="668"/>
      <c r="O24" s="668"/>
      <c r="P24" s="754"/>
      <c r="Q24" s="754"/>
      <c r="R24" s="754"/>
      <c r="S24" s="754"/>
      <c r="T24" s="754"/>
      <c r="U24" s="754"/>
      <c r="V24" s="754"/>
      <c r="W24" s="754"/>
      <c r="X24" s="754"/>
      <c r="Y24" s="754"/>
    </row>
    <row r="25" spans="1:25" ht="21" customHeight="1">
      <c r="A25" s="414" t="s">
        <v>3</v>
      </c>
      <c r="B25" s="719">
        <f t="shared" ref="B25:O25" si="4">SUM(B6:B19)</f>
        <v>316</v>
      </c>
      <c r="C25" s="719">
        <f t="shared" si="4"/>
        <v>515</v>
      </c>
      <c r="D25" s="719">
        <f t="shared" si="4"/>
        <v>534</v>
      </c>
      <c r="E25" s="719">
        <f t="shared" si="4"/>
        <v>623</v>
      </c>
      <c r="F25" s="719">
        <f t="shared" si="4"/>
        <v>516</v>
      </c>
      <c r="G25" s="719">
        <f t="shared" si="4"/>
        <v>0</v>
      </c>
      <c r="H25" s="719">
        <f t="shared" si="4"/>
        <v>0</v>
      </c>
      <c r="I25" s="719">
        <f t="shared" si="4"/>
        <v>2504</v>
      </c>
      <c r="J25" s="719">
        <f t="shared" si="4"/>
        <v>316</v>
      </c>
      <c r="K25" s="719">
        <f t="shared" si="4"/>
        <v>300</v>
      </c>
      <c r="L25" s="719">
        <f t="shared" si="4"/>
        <v>330</v>
      </c>
      <c r="M25" s="719">
        <f t="shared" si="4"/>
        <v>360</v>
      </c>
      <c r="N25" s="719">
        <f t="shared" si="4"/>
        <v>360</v>
      </c>
      <c r="O25" s="719">
        <f t="shared" si="4"/>
        <v>360</v>
      </c>
      <c r="P25" s="719">
        <f t="shared" ref="P25:Y25" si="5">SUM(P6:P19)</f>
        <v>0</v>
      </c>
      <c r="Q25" s="719">
        <f t="shared" si="5"/>
        <v>0</v>
      </c>
      <c r="R25" s="719">
        <f t="shared" si="5"/>
        <v>0</v>
      </c>
      <c r="S25" s="719">
        <f t="shared" si="5"/>
        <v>0</v>
      </c>
      <c r="T25" s="719">
        <f t="shared" si="5"/>
        <v>0</v>
      </c>
      <c r="U25" s="719">
        <f t="shared" si="5"/>
        <v>0</v>
      </c>
      <c r="V25" s="719">
        <f t="shared" si="5"/>
        <v>0</v>
      </c>
      <c r="W25" s="719">
        <f t="shared" si="5"/>
        <v>0</v>
      </c>
      <c r="X25" s="719">
        <f t="shared" si="5"/>
        <v>0</v>
      </c>
      <c r="Y25" s="719">
        <f t="shared" si="5"/>
        <v>0</v>
      </c>
    </row>
    <row r="26" spans="1:25" ht="21" hidden="1" customHeight="1">
      <c r="A26" s="299" t="s">
        <v>48</v>
      </c>
      <c r="B26" s="299"/>
      <c r="C26" s="299"/>
      <c r="D26" s="253"/>
      <c r="E26" s="254"/>
      <c r="F26" s="254"/>
      <c r="G26" s="254"/>
      <c r="H26" s="254"/>
      <c r="I26" s="254"/>
      <c r="J26" s="159"/>
      <c r="K26" s="159"/>
      <c r="L26" s="159"/>
      <c r="M26" s="159"/>
      <c r="N26" s="159"/>
      <c r="O26" s="159"/>
      <c r="P26" s="693"/>
      <c r="Q26" s="693"/>
      <c r="R26" s="693"/>
      <c r="S26" s="693"/>
      <c r="T26" s="693"/>
      <c r="U26" s="693"/>
      <c r="V26" s="693"/>
      <c r="W26" s="693"/>
      <c r="X26" s="693"/>
      <c r="Y26" s="693"/>
    </row>
    <row r="27" spans="1:25" ht="21" hidden="1" customHeight="1">
      <c r="A27" s="96" t="s">
        <v>71</v>
      </c>
      <c r="B27" s="96"/>
      <c r="C27" s="96"/>
      <c r="D27" s="122"/>
      <c r="E27" s="107"/>
      <c r="F27" s="107"/>
      <c r="G27" s="107"/>
      <c r="H27" s="107"/>
      <c r="I27" s="107"/>
      <c r="J27" s="159"/>
      <c r="K27" s="159"/>
      <c r="L27" s="159"/>
      <c r="M27" s="159"/>
      <c r="N27" s="159"/>
      <c r="O27" s="159"/>
      <c r="P27" s="691"/>
      <c r="Q27" s="691"/>
      <c r="R27" s="691"/>
      <c r="S27" s="691"/>
      <c r="T27" s="691"/>
      <c r="U27" s="691"/>
      <c r="V27" s="691"/>
      <c r="W27" s="691"/>
      <c r="X27" s="691"/>
      <c r="Y27" s="691"/>
    </row>
    <row r="28" spans="1:25" ht="21" hidden="1" customHeight="1">
      <c r="A28" s="671" t="s">
        <v>3</v>
      </c>
      <c r="B28" s="671"/>
      <c r="C28" s="671"/>
      <c r="D28" s="672"/>
      <c r="E28" s="673">
        <f>SUM(E27)</f>
        <v>0</v>
      </c>
      <c r="F28" s="673">
        <f>SUM(F27)</f>
        <v>0</v>
      </c>
      <c r="G28" s="673">
        <f>SUM(G27)</f>
        <v>0</v>
      </c>
      <c r="H28" s="673">
        <f>SUM(H27)</f>
        <v>0</v>
      </c>
      <c r="I28" s="673">
        <f>SUM(I27)</f>
        <v>0</v>
      </c>
      <c r="J28" s="160"/>
      <c r="K28" s="160"/>
      <c r="L28" s="160"/>
      <c r="M28" s="160"/>
      <c r="N28" s="160"/>
      <c r="O28" s="160"/>
      <c r="P28" s="692"/>
      <c r="Q28" s="692"/>
      <c r="R28" s="692"/>
      <c r="S28" s="692"/>
      <c r="T28" s="692"/>
      <c r="U28" s="692"/>
      <c r="V28" s="692"/>
      <c r="W28" s="692"/>
      <c r="X28" s="692"/>
      <c r="Y28" s="692"/>
    </row>
    <row r="29" spans="1:25" ht="21" customHeight="1">
      <c r="A29" s="674" t="s">
        <v>49</v>
      </c>
      <c r="B29" s="674"/>
      <c r="C29" s="674"/>
      <c r="D29" s="710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377"/>
      <c r="Q29" s="377"/>
      <c r="R29" s="377"/>
      <c r="S29" s="377"/>
      <c r="T29" s="377"/>
      <c r="U29" s="377"/>
      <c r="V29" s="377"/>
      <c r="W29" s="377"/>
      <c r="X29" s="377"/>
      <c r="Y29" s="377"/>
    </row>
    <row r="30" spans="1:25" ht="21" customHeight="1">
      <c r="A30" s="659" t="s">
        <v>82</v>
      </c>
      <c r="B30" s="659"/>
      <c r="C30" s="659"/>
      <c r="D30" s="661"/>
      <c r="E30" s="662"/>
      <c r="F30" s="662"/>
      <c r="G30" s="662">
        <v>2</v>
      </c>
      <c r="H30" s="662"/>
      <c r="I30" s="662">
        <f t="shared" ref="I30:I32" si="6">SUM(B30:H30)</f>
        <v>2</v>
      </c>
      <c r="J30" s="662">
        <f>B30</f>
        <v>0</v>
      </c>
      <c r="K30" s="662">
        <v>0</v>
      </c>
      <c r="L30" s="662">
        <v>0</v>
      </c>
      <c r="M30" s="662">
        <v>0</v>
      </c>
      <c r="N30" s="662">
        <v>0</v>
      </c>
      <c r="O30" s="662">
        <v>0</v>
      </c>
      <c r="P30" s="735"/>
      <c r="Q30" s="735"/>
      <c r="R30" s="735"/>
      <c r="S30" s="735"/>
      <c r="T30" s="735"/>
      <c r="U30" s="735"/>
      <c r="V30" s="735"/>
      <c r="W30" s="735"/>
      <c r="X30" s="735"/>
      <c r="Y30" s="735"/>
    </row>
    <row r="31" spans="1:25" ht="21" customHeight="1">
      <c r="A31" s="250" t="s">
        <v>282</v>
      </c>
      <c r="B31" s="250">
        <v>5</v>
      </c>
      <c r="C31" s="250"/>
      <c r="D31" s="251">
        <v>5</v>
      </c>
      <c r="E31" s="252"/>
      <c r="F31" s="252"/>
      <c r="G31" s="252"/>
      <c r="H31" s="252"/>
      <c r="I31" s="252">
        <f t="shared" si="6"/>
        <v>10</v>
      </c>
      <c r="J31" s="252">
        <f>B31</f>
        <v>5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691"/>
      <c r="Q31" s="691"/>
      <c r="R31" s="691"/>
      <c r="S31" s="691"/>
      <c r="T31" s="691"/>
      <c r="U31" s="691"/>
      <c r="V31" s="691"/>
      <c r="W31" s="691"/>
      <c r="X31" s="691"/>
      <c r="Y31" s="691"/>
    </row>
    <row r="32" spans="1:25" ht="21" customHeight="1">
      <c r="A32" s="250" t="s">
        <v>97</v>
      </c>
      <c r="B32" s="250"/>
      <c r="C32" s="250"/>
      <c r="D32" s="251"/>
      <c r="E32" s="252"/>
      <c r="F32" s="252">
        <v>3</v>
      </c>
      <c r="G32" s="252"/>
      <c r="H32" s="252"/>
      <c r="I32" s="252">
        <f t="shared" si="6"/>
        <v>3</v>
      </c>
      <c r="J32" s="252">
        <f>B32</f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691"/>
      <c r="Q32" s="691"/>
      <c r="R32" s="691"/>
      <c r="S32" s="691"/>
      <c r="T32" s="691"/>
      <c r="U32" s="691"/>
      <c r="V32" s="691"/>
      <c r="W32" s="691"/>
      <c r="X32" s="691"/>
      <c r="Y32" s="691"/>
    </row>
    <row r="33" spans="1:25" ht="21" customHeight="1">
      <c r="A33" s="250" t="s">
        <v>98</v>
      </c>
      <c r="B33" s="250"/>
      <c r="C33" s="250"/>
      <c r="D33" s="251"/>
      <c r="E33" s="252"/>
      <c r="F33" s="252"/>
      <c r="G33" s="252"/>
      <c r="H33" s="252"/>
      <c r="I33" s="252">
        <f>SUM(B33:H33)</f>
        <v>0</v>
      </c>
      <c r="J33" s="252">
        <f>B33</f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691"/>
      <c r="Q33" s="691"/>
      <c r="R33" s="691"/>
      <c r="S33" s="691"/>
      <c r="T33" s="691"/>
      <c r="U33" s="691"/>
      <c r="V33" s="691"/>
      <c r="W33" s="691"/>
      <c r="X33" s="691"/>
      <c r="Y33" s="691"/>
    </row>
    <row r="34" spans="1:25" ht="21" customHeight="1">
      <c r="A34" s="250"/>
      <c r="B34" s="250"/>
      <c r="C34" s="250"/>
      <c r="D34" s="251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691"/>
      <c r="Q34" s="691"/>
      <c r="R34" s="691"/>
      <c r="S34" s="691"/>
      <c r="T34" s="691"/>
      <c r="U34" s="691"/>
      <c r="V34" s="691"/>
      <c r="W34" s="691"/>
      <c r="X34" s="691"/>
      <c r="Y34" s="691"/>
    </row>
    <row r="35" spans="1:25" ht="21" customHeight="1">
      <c r="A35" s="665"/>
      <c r="B35" s="665"/>
      <c r="C35" s="665"/>
      <c r="D35" s="667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754"/>
      <c r="Q35" s="754"/>
      <c r="R35" s="754"/>
      <c r="S35" s="754"/>
      <c r="T35" s="754"/>
      <c r="U35" s="754"/>
      <c r="V35" s="754"/>
      <c r="W35" s="754"/>
      <c r="X35" s="754"/>
      <c r="Y35" s="754"/>
    </row>
    <row r="36" spans="1:25" ht="21" customHeight="1">
      <c r="A36" s="95" t="s">
        <v>3</v>
      </c>
      <c r="B36" s="106">
        <f t="shared" ref="B36:H36" si="7">SUM(B30:B33)</f>
        <v>5</v>
      </c>
      <c r="C36" s="106">
        <f t="shared" si="7"/>
        <v>0</v>
      </c>
      <c r="D36" s="106">
        <f t="shared" si="7"/>
        <v>5</v>
      </c>
      <c r="E36" s="106">
        <f t="shared" si="7"/>
        <v>0</v>
      </c>
      <c r="F36" s="106">
        <f t="shared" si="7"/>
        <v>3</v>
      </c>
      <c r="G36" s="106">
        <f t="shared" si="7"/>
        <v>2</v>
      </c>
      <c r="H36" s="106">
        <f t="shared" si="7"/>
        <v>0</v>
      </c>
      <c r="I36" s="106">
        <f>SUM(I30:I33)</f>
        <v>15</v>
      </c>
      <c r="J36" s="106">
        <f>SUM(J30:J33)</f>
        <v>5</v>
      </c>
      <c r="K36" s="106">
        <f t="shared" ref="K36:Y36" si="8">SUM(K30:K33)</f>
        <v>0</v>
      </c>
      <c r="L36" s="106">
        <f t="shared" si="8"/>
        <v>0</v>
      </c>
      <c r="M36" s="106">
        <f t="shared" si="8"/>
        <v>0</v>
      </c>
      <c r="N36" s="106">
        <f t="shared" si="8"/>
        <v>0</v>
      </c>
      <c r="O36" s="106">
        <f t="shared" si="8"/>
        <v>0</v>
      </c>
      <c r="P36" s="106">
        <f t="shared" si="8"/>
        <v>0</v>
      </c>
      <c r="Q36" s="106">
        <f t="shared" si="8"/>
        <v>0</v>
      </c>
      <c r="R36" s="106">
        <f t="shared" si="8"/>
        <v>0</v>
      </c>
      <c r="S36" s="106">
        <f t="shared" si="8"/>
        <v>0</v>
      </c>
      <c r="T36" s="106">
        <f t="shared" si="8"/>
        <v>0</v>
      </c>
      <c r="U36" s="106">
        <f t="shared" si="8"/>
        <v>0</v>
      </c>
      <c r="V36" s="106">
        <f t="shared" si="8"/>
        <v>0</v>
      </c>
      <c r="W36" s="106">
        <f t="shared" si="8"/>
        <v>0</v>
      </c>
      <c r="X36" s="106">
        <f t="shared" si="8"/>
        <v>0</v>
      </c>
      <c r="Y36" s="106">
        <f t="shared" si="8"/>
        <v>0</v>
      </c>
    </row>
    <row r="37" spans="1:25" ht="21" customHeight="1">
      <c r="A37" s="98" t="s">
        <v>11</v>
      </c>
      <c r="B37" s="106">
        <f t="shared" ref="B37:Y37" si="9">SUM(B56,B67,B62)</f>
        <v>716</v>
      </c>
      <c r="C37" s="106">
        <f t="shared" si="9"/>
        <v>491</v>
      </c>
      <c r="D37" s="106">
        <f t="shared" si="9"/>
        <v>535</v>
      </c>
      <c r="E37" s="106">
        <f t="shared" si="9"/>
        <v>469</v>
      </c>
      <c r="F37" s="106">
        <f t="shared" si="9"/>
        <v>52</v>
      </c>
      <c r="G37" s="106">
        <f t="shared" si="9"/>
        <v>2</v>
      </c>
      <c r="H37" s="106">
        <f t="shared" si="9"/>
        <v>0</v>
      </c>
      <c r="I37" s="106">
        <f t="shared" si="9"/>
        <v>1778</v>
      </c>
      <c r="J37" s="106">
        <f t="shared" si="9"/>
        <v>573</v>
      </c>
      <c r="K37" s="106">
        <f t="shared" si="9"/>
        <v>555</v>
      </c>
      <c r="L37" s="106">
        <f t="shared" si="9"/>
        <v>595</v>
      </c>
      <c r="M37" s="106">
        <f t="shared" si="9"/>
        <v>605</v>
      </c>
      <c r="N37" s="106">
        <f t="shared" si="9"/>
        <v>685</v>
      </c>
      <c r="O37" s="106">
        <f t="shared" si="9"/>
        <v>685</v>
      </c>
      <c r="P37" s="106">
        <f t="shared" si="9"/>
        <v>0</v>
      </c>
      <c r="Q37" s="106">
        <f t="shared" si="9"/>
        <v>0</v>
      </c>
      <c r="R37" s="106">
        <f t="shared" si="9"/>
        <v>0</v>
      </c>
      <c r="S37" s="106">
        <f t="shared" si="9"/>
        <v>0</v>
      </c>
      <c r="T37" s="106">
        <f t="shared" si="9"/>
        <v>0</v>
      </c>
      <c r="U37" s="106">
        <f t="shared" si="9"/>
        <v>0</v>
      </c>
      <c r="V37" s="106">
        <f t="shared" si="9"/>
        <v>0</v>
      </c>
      <c r="W37" s="106">
        <f t="shared" si="9"/>
        <v>0</v>
      </c>
      <c r="X37" s="106">
        <f t="shared" si="9"/>
        <v>0</v>
      </c>
      <c r="Y37" s="106">
        <f t="shared" si="9"/>
        <v>0</v>
      </c>
    </row>
    <row r="38" spans="1:25" ht="21" customHeight="1">
      <c r="A38" s="99" t="s">
        <v>138</v>
      </c>
      <c r="B38" s="99">
        <v>95</v>
      </c>
      <c r="C38" s="388">
        <v>55</v>
      </c>
      <c r="D38" s="123">
        <v>76</v>
      </c>
      <c r="E38" s="109">
        <v>60</v>
      </c>
      <c r="F38" s="109">
        <v>7</v>
      </c>
      <c r="G38" s="109"/>
      <c r="H38" s="109"/>
      <c r="I38" s="716">
        <f>SUM(B38:H38)</f>
        <v>293</v>
      </c>
      <c r="J38" s="716">
        <f>B38</f>
        <v>95</v>
      </c>
      <c r="K38" s="109">
        <v>100</v>
      </c>
      <c r="L38" s="109">
        <v>100</v>
      </c>
      <c r="M38" s="109">
        <v>100</v>
      </c>
      <c r="N38" s="109">
        <v>100</v>
      </c>
      <c r="O38" s="752">
        <v>100</v>
      </c>
      <c r="P38" s="693"/>
      <c r="Q38" s="693"/>
      <c r="R38" s="693"/>
      <c r="S38" s="693"/>
      <c r="T38" s="693"/>
      <c r="U38" s="693"/>
      <c r="V38" s="693"/>
      <c r="W38" s="693"/>
      <c r="X38" s="693"/>
      <c r="Y38" s="693"/>
    </row>
    <row r="39" spans="1:25" ht="21" customHeight="1">
      <c r="A39" s="100" t="s">
        <v>91</v>
      </c>
      <c r="B39" s="100">
        <v>100</v>
      </c>
      <c r="C39" s="386">
        <v>72</v>
      </c>
      <c r="D39" s="124">
        <v>67</v>
      </c>
      <c r="E39" s="108">
        <v>70</v>
      </c>
      <c r="F39" s="108">
        <v>8</v>
      </c>
      <c r="G39" s="108"/>
      <c r="H39" s="108"/>
      <c r="I39" s="252">
        <f t="shared" ref="I39:I45" si="10">SUM(B39:H39)</f>
        <v>317</v>
      </c>
      <c r="J39" s="252">
        <f>B39</f>
        <v>100</v>
      </c>
      <c r="K39" s="108">
        <v>100</v>
      </c>
      <c r="L39" s="108">
        <v>100</v>
      </c>
      <c r="M39" s="108">
        <v>100</v>
      </c>
      <c r="N39" s="108">
        <v>100</v>
      </c>
      <c r="O39" s="751">
        <v>100</v>
      </c>
      <c r="P39" s="691"/>
      <c r="Q39" s="691"/>
      <c r="R39" s="691"/>
      <c r="S39" s="691"/>
      <c r="T39" s="691"/>
      <c r="U39" s="691"/>
      <c r="V39" s="691"/>
      <c r="W39" s="691"/>
      <c r="X39" s="691"/>
      <c r="Y39" s="691"/>
    </row>
    <row r="40" spans="1:25" ht="21" customHeight="1">
      <c r="A40" s="100" t="s">
        <v>9</v>
      </c>
      <c r="B40" s="100">
        <v>38</v>
      </c>
      <c r="C40" s="386">
        <v>28</v>
      </c>
      <c r="D40" s="124">
        <v>32</v>
      </c>
      <c r="E40" s="108">
        <v>35</v>
      </c>
      <c r="F40" s="108">
        <v>8</v>
      </c>
      <c r="G40" s="108"/>
      <c r="H40" s="108"/>
      <c r="I40" s="252">
        <f t="shared" si="10"/>
        <v>141</v>
      </c>
      <c r="J40" s="252">
        <f>B40</f>
        <v>38</v>
      </c>
      <c r="K40" s="108">
        <v>50</v>
      </c>
      <c r="L40" s="108">
        <v>50</v>
      </c>
      <c r="M40" s="108">
        <v>60</v>
      </c>
      <c r="N40" s="108">
        <v>60</v>
      </c>
      <c r="O40" s="751">
        <v>60</v>
      </c>
      <c r="P40" s="691"/>
      <c r="Q40" s="691"/>
      <c r="R40" s="691"/>
      <c r="S40" s="691"/>
      <c r="T40" s="691"/>
      <c r="U40" s="691"/>
      <c r="V40" s="691"/>
      <c r="W40" s="691"/>
      <c r="X40" s="691"/>
      <c r="Y40" s="691"/>
    </row>
    <row r="41" spans="1:25" ht="21" customHeight="1">
      <c r="A41" s="100" t="s">
        <v>12</v>
      </c>
      <c r="B41" s="100">
        <v>59</v>
      </c>
      <c r="C41" s="386">
        <v>24</v>
      </c>
      <c r="D41" s="124">
        <v>49</v>
      </c>
      <c r="E41" s="108">
        <v>21</v>
      </c>
      <c r="F41" s="108">
        <v>12</v>
      </c>
      <c r="G41" s="108"/>
      <c r="H41" s="108"/>
      <c r="I41" s="252">
        <f t="shared" si="10"/>
        <v>165</v>
      </c>
      <c r="J41" s="252">
        <f>B41</f>
        <v>59</v>
      </c>
      <c r="K41" s="108">
        <v>40</v>
      </c>
      <c r="L41" s="108">
        <v>40</v>
      </c>
      <c r="M41" s="108">
        <v>40</v>
      </c>
      <c r="N41" s="108">
        <v>40</v>
      </c>
      <c r="O41" s="751">
        <v>40</v>
      </c>
      <c r="P41" s="691"/>
      <c r="Q41" s="691"/>
      <c r="R41" s="691"/>
      <c r="S41" s="691"/>
      <c r="T41" s="691"/>
      <c r="U41" s="691"/>
      <c r="V41" s="691"/>
      <c r="W41" s="691"/>
      <c r="X41" s="691"/>
      <c r="Y41" s="691"/>
    </row>
    <row r="42" spans="1:25" ht="21" customHeight="1">
      <c r="A42" s="100" t="s">
        <v>13</v>
      </c>
      <c r="B42" s="100">
        <v>59</v>
      </c>
      <c r="C42" s="386">
        <v>20</v>
      </c>
      <c r="D42" s="124">
        <v>31</v>
      </c>
      <c r="E42" s="108">
        <v>25</v>
      </c>
      <c r="F42" s="108"/>
      <c r="G42" s="108"/>
      <c r="H42" s="108"/>
      <c r="I42" s="252">
        <f t="shared" si="10"/>
        <v>135</v>
      </c>
      <c r="J42" s="252">
        <f>B42</f>
        <v>59</v>
      </c>
      <c r="K42" s="108">
        <v>40</v>
      </c>
      <c r="L42" s="108">
        <v>40</v>
      </c>
      <c r="M42" s="108">
        <v>40</v>
      </c>
      <c r="N42" s="108">
        <v>40</v>
      </c>
      <c r="O42" s="751">
        <v>40</v>
      </c>
      <c r="P42" s="691"/>
      <c r="Q42" s="691"/>
      <c r="R42" s="691"/>
      <c r="S42" s="691"/>
      <c r="T42" s="691"/>
      <c r="U42" s="691"/>
      <c r="V42" s="691"/>
      <c r="W42" s="691"/>
      <c r="X42" s="691"/>
      <c r="Y42" s="691"/>
    </row>
    <row r="43" spans="1:25" ht="21" hidden="1" customHeight="1">
      <c r="A43" s="100" t="s">
        <v>14</v>
      </c>
      <c r="B43" s="100"/>
      <c r="C43" s="386"/>
      <c r="D43" s="124"/>
      <c r="E43" s="108"/>
      <c r="F43" s="108"/>
      <c r="G43" s="108"/>
      <c r="H43" s="108"/>
      <c r="I43" s="252">
        <f t="shared" si="10"/>
        <v>0</v>
      </c>
      <c r="J43" s="108"/>
      <c r="K43" s="108"/>
      <c r="L43" s="108"/>
      <c r="M43" s="108"/>
      <c r="N43" s="108"/>
      <c r="O43" s="751"/>
      <c r="P43" s="691"/>
      <c r="Q43" s="691"/>
      <c r="R43" s="691"/>
      <c r="S43" s="691"/>
      <c r="T43" s="691"/>
      <c r="U43" s="691"/>
      <c r="V43" s="691"/>
      <c r="W43" s="691"/>
      <c r="X43" s="691"/>
      <c r="Y43" s="691"/>
    </row>
    <row r="44" spans="1:25" ht="21" customHeight="1">
      <c r="A44" s="100" t="s">
        <v>116</v>
      </c>
      <c r="B44" s="100">
        <v>77</v>
      </c>
      <c r="C44" s="386">
        <v>60</v>
      </c>
      <c r="D44" s="124">
        <v>36</v>
      </c>
      <c r="E44" s="108">
        <v>40</v>
      </c>
      <c r="F44" s="108">
        <v>7</v>
      </c>
      <c r="G44" s="108"/>
      <c r="H44" s="108"/>
      <c r="I44" s="252">
        <f t="shared" si="10"/>
        <v>220</v>
      </c>
      <c r="J44" s="252">
        <f>B44</f>
        <v>77</v>
      </c>
      <c r="K44" s="108">
        <v>70</v>
      </c>
      <c r="L44" s="108">
        <v>70</v>
      </c>
      <c r="M44" s="108">
        <v>70</v>
      </c>
      <c r="N44" s="108">
        <v>70</v>
      </c>
      <c r="O44" s="751">
        <v>70</v>
      </c>
      <c r="P44" s="691"/>
      <c r="Q44" s="691"/>
      <c r="R44" s="691"/>
      <c r="S44" s="691"/>
      <c r="T44" s="691"/>
      <c r="U44" s="691"/>
      <c r="V44" s="691"/>
      <c r="W44" s="691"/>
      <c r="X44" s="691"/>
      <c r="Y44" s="691"/>
    </row>
    <row r="45" spans="1:25" ht="21" hidden="1" customHeight="1">
      <c r="A45" s="100" t="s">
        <v>167</v>
      </c>
      <c r="B45" s="100"/>
      <c r="C45" s="386"/>
      <c r="D45" s="124"/>
      <c r="E45" s="108"/>
      <c r="F45" s="108"/>
      <c r="G45" s="108"/>
      <c r="H45" s="108"/>
      <c r="I45" s="252">
        <f t="shared" si="10"/>
        <v>0</v>
      </c>
      <c r="J45" s="108"/>
      <c r="K45" s="108"/>
      <c r="L45" s="108"/>
      <c r="M45" s="108"/>
      <c r="N45" s="108"/>
      <c r="O45" s="751"/>
      <c r="P45" s="691"/>
      <c r="Q45" s="691"/>
      <c r="R45" s="691"/>
      <c r="S45" s="691"/>
      <c r="T45" s="691"/>
      <c r="U45" s="691"/>
      <c r="V45" s="691"/>
      <c r="W45" s="691"/>
      <c r="X45" s="691"/>
      <c r="Y45" s="691"/>
    </row>
    <row r="46" spans="1:25" ht="21" customHeight="1">
      <c r="A46" s="100" t="s">
        <v>166</v>
      </c>
      <c r="B46" s="100">
        <v>87</v>
      </c>
      <c r="C46" s="386">
        <v>77</v>
      </c>
      <c r="D46" s="124">
        <v>72</v>
      </c>
      <c r="E46" s="108">
        <v>78</v>
      </c>
      <c r="F46" s="108">
        <v>0</v>
      </c>
      <c r="G46" s="108"/>
      <c r="H46" s="108"/>
      <c r="I46" s="252">
        <f t="shared" ref="I46" si="11">SUM(B46:H46)</f>
        <v>314</v>
      </c>
      <c r="J46" s="252">
        <f>B46</f>
        <v>87</v>
      </c>
      <c r="K46" s="108">
        <v>80</v>
      </c>
      <c r="L46" s="108">
        <v>80</v>
      </c>
      <c r="M46" s="108">
        <v>80</v>
      </c>
      <c r="N46" s="108">
        <v>80</v>
      </c>
      <c r="O46" s="751">
        <v>80</v>
      </c>
      <c r="P46" s="691"/>
      <c r="Q46" s="691"/>
      <c r="R46" s="691"/>
      <c r="S46" s="691"/>
      <c r="T46" s="691"/>
      <c r="U46" s="691"/>
      <c r="V46" s="691"/>
      <c r="W46" s="691"/>
      <c r="X46" s="691"/>
      <c r="Y46" s="691"/>
    </row>
    <row r="47" spans="1:25" ht="21" customHeight="1">
      <c r="A47" s="100" t="s">
        <v>137</v>
      </c>
      <c r="B47" s="100">
        <v>56</v>
      </c>
      <c r="C47" s="386">
        <v>38</v>
      </c>
      <c r="D47" s="124">
        <v>45</v>
      </c>
      <c r="E47" s="108">
        <v>31</v>
      </c>
      <c r="F47" s="108">
        <v>3</v>
      </c>
      <c r="G47" s="108"/>
      <c r="H47" s="108"/>
      <c r="I47" s="252">
        <f>SUM(B47:H47)</f>
        <v>173</v>
      </c>
      <c r="J47" s="252">
        <f>B47</f>
        <v>56</v>
      </c>
      <c r="K47" s="108">
        <v>50</v>
      </c>
      <c r="L47" s="108">
        <v>50</v>
      </c>
      <c r="M47" s="108">
        <v>50</v>
      </c>
      <c r="N47" s="108">
        <v>50</v>
      </c>
      <c r="O47" s="751">
        <v>50</v>
      </c>
      <c r="P47" s="691"/>
      <c r="Q47" s="691"/>
      <c r="R47" s="691"/>
      <c r="S47" s="691"/>
      <c r="T47" s="691"/>
      <c r="U47" s="691"/>
      <c r="V47" s="691"/>
      <c r="W47" s="691"/>
      <c r="X47" s="691"/>
      <c r="Y47" s="691"/>
    </row>
    <row r="48" spans="1:25" ht="21" customHeight="1">
      <c r="A48" s="99" t="s">
        <v>365</v>
      </c>
      <c r="B48" s="99">
        <v>87</v>
      </c>
      <c r="C48" s="388">
        <v>77</v>
      </c>
      <c r="D48" s="123">
        <v>72</v>
      </c>
      <c r="E48" s="109">
        <v>78</v>
      </c>
      <c r="F48" s="109">
        <v>0</v>
      </c>
      <c r="G48" s="109"/>
      <c r="H48" s="109"/>
      <c r="I48" s="716">
        <v>0</v>
      </c>
      <c r="J48" s="716">
        <v>0</v>
      </c>
      <c r="K48" s="109">
        <v>0</v>
      </c>
      <c r="L48" s="109">
        <v>40</v>
      </c>
      <c r="M48" s="109">
        <v>40</v>
      </c>
      <c r="N48" s="109">
        <v>80</v>
      </c>
      <c r="O48" s="752">
        <v>80</v>
      </c>
      <c r="P48" s="691"/>
      <c r="Q48" s="691"/>
      <c r="R48" s="691"/>
      <c r="S48" s="691"/>
      <c r="T48" s="691"/>
      <c r="U48" s="691"/>
      <c r="V48" s="691"/>
      <c r="W48" s="691"/>
      <c r="X48" s="691"/>
      <c r="Y48" s="691"/>
    </row>
    <row r="49" spans="1:25" ht="21" customHeight="1">
      <c r="A49" s="103" t="s">
        <v>366</v>
      </c>
      <c r="B49" s="103">
        <v>56</v>
      </c>
      <c r="C49" s="367">
        <v>38</v>
      </c>
      <c r="D49" s="125">
        <v>45</v>
      </c>
      <c r="E49" s="111">
        <v>31</v>
      </c>
      <c r="F49" s="111">
        <v>3</v>
      </c>
      <c r="G49" s="111"/>
      <c r="H49" s="111"/>
      <c r="I49" s="107">
        <v>0</v>
      </c>
      <c r="J49" s="107">
        <v>0</v>
      </c>
      <c r="K49" s="111">
        <v>0</v>
      </c>
      <c r="L49" s="111">
        <v>0</v>
      </c>
      <c r="M49" s="111">
        <v>0</v>
      </c>
      <c r="N49" s="111">
        <v>40</v>
      </c>
      <c r="O49" s="753">
        <v>40</v>
      </c>
      <c r="P49" s="692"/>
      <c r="Q49" s="692"/>
      <c r="R49" s="692"/>
      <c r="S49" s="692"/>
      <c r="T49" s="692"/>
      <c r="U49" s="692"/>
      <c r="V49" s="692"/>
      <c r="W49" s="692"/>
      <c r="X49" s="692"/>
      <c r="Y49" s="692"/>
    </row>
    <row r="50" spans="1:25" ht="21" customHeight="1">
      <c r="A50" s="681" t="s">
        <v>396</v>
      </c>
      <c r="B50" s="100"/>
      <c r="C50" s="386"/>
      <c r="D50" s="124"/>
      <c r="E50" s="108"/>
      <c r="F50" s="108"/>
      <c r="G50" s="108"/>
      <c r="H50" s="108"/>
      <c r="I50" s="252"/>
      <c r="J50" s="252"/>
      <c r="K50" s="108"/>
      <c r="L50" s="108"/>
      <c r="M50" s="108"/>
      <c r="N50" s="108"/>
      <c r="O50" s="108"/>
      <c r="P50" s="691"/>
      <c r="Q50" s="691"/>
      <c r="R50" s="691"/>
      <c r="S50" s="691"/>
      <c r="T50" s="691"/>
      <c r="U50" s="691"/>
      <c r="V50" s="691"/>
      <c r="W50" s="691"/>
      <c r="X50" s="691"/>
      <c r="Y50" s="691"/>
    </row>
    <row r="51" spans="1:25" ht="21" customHeight="1">
      <c r="A51" s="681"/>
      <c r="B51" s="100"/>
      <c r="C51" s="386"/>
      <c r="D51" s="124"/>
      <c r="E51" s="108"/>
      <c r="F51" s="108"/>
      <c r="G51" s="108"/>
      <c r="H51" s="108"/>
      <c r="I51" s="252"/>
      <c r="J51" s="252"/>
      <c r="K51" s="108"/>
      <c r="L51" s="108"/>
      <c r="M51" s="108"/>
      <c r="N51" s="108"/>
      <c r="O51" s="108"/>
      <c r="P51" s="691"/>
      <c r="Q51" s="691"/>
      <c r="R51" s="691"/>
      <c r="S51" s="691"/>
      <c r="T51" s="691"/>
      <c r="U51" s="691"/>
      <c r="V51" s="691"/>
      <c r="W51" s="691"/>
      <c r="X51" s="691"/>
      <c r="Y51" s="691"/>
    </row>
    <row r="52" spans="1:25" ht="21" customHeight="1">
      <c r="A52" s="100"/>
      <c r="B52" s="100"/>
      <c r="C52" s="386"/>
      <c r="D52" s="124"/>
      <c r="E52" s="108"/>
      <c r="F52" s="108"/>
      <c r="G52" s="108"/>
      <c r="H52" s="108"/>
      <c r="I52" s="252"/>
      <c r="J52" s="252"/>
      <c r="K52" s="108"/>
      <c r="L52" s="108"/>
      <c r="M52" s="108"/>
      <c r="N52" s="108"/>
      <c r="O52" s="108"/>
      <c r="P52" s="691"/>
      <c r="Q52" s="691"/>
      <c r="R52" s="691"/>
      <c r="S52" s="691"/>
      <c r="T52" s="691"/>
      <c r="U52" s="691"/>
      <c r="V52" s="691"/>
      <c r="W52" s="691"/>
      <c r="X52" s="691"/>
      <c r="Y52" s="691"/>
    </row>
    <row r="53" spans="1:25" ht="21" customHeight="1">
      <c r="A53" s="100"/>
      <c r="B53" s="100"/>
      <c r="C53" s="386"/>
      <c r="D53" s="124"/>
      <c r="E53" s="108"/>
      <c r="F53" s="108"/>
      <c r="G53" s="108"/>
      <c r="H53" s="108"/>
      <c r="I53" s="252"/>
      <c r="J53" s="252"/>
      <c r="K53" s="108"/>
      <c r="L53" s="108"/>
      <c r="M53" s="108"/>
      <c r="N53" s="108"/>
      <c r="O53" s="108"/>
      <c r="P53" s="691"/>
      <c r="Q53" s="691"/>
      <c r="R53" s="691"/>
      <c r="S53" s="691"/>
      <c r="T53" s="691"/>
      <c r="U53" s="691"/>
      <c r="V53" s="691"/>
      <c r="W53" s="691"/>
      <c r="X53" s="691"/>
      <c r="Y53" s="691"/>
    </row>
    <row r="54" spans="1:25" ht="21" customHeight="1">
      <c r="A54" s="100"/>
      <c r="B54" s="100"/>
      <c r="C54" s="386"/>
      <c r="D54" s="124"/>
      <c r="E54" s="108"/>
      <c r="F54" s="108"/>
      <c r="G54" s="108"/>
      <c r="H54" s="108"/>
      <c r="I54" s="252"/>
      <c r="J54" s="252"/>
      <c r="K54" s="108"/>
      <c r="L54" s="108"/>
      <c r="M54" s="108"/>
      <c r="N54" s="108"/>
      <c r="O54" s="108"/>
      <c r="P54" s="691"/>
      <c r="Q54" s="691"/>
      <c r="R54" s="691"/>
      <c r="S54" s="691"/>
      <c r="T54" s="691"/>
      <c r="U54" s="691"/>
      <c r="V54" s="691"/>
      <c r="W54" s="691"/>
      <c r="X54" s="691"/>
      <c r="Y54" s="691"/>
    </row>
    <row r="55" spans="1:25" ht="21" customHeight="1">
      <c r="A55" s="401"/>
      <c r="B55" s="401"/>
      <c r="C55" s="676"/>
      <c r="D55" s="677"/>
      <c r="E55" s="670"/>
      <c r="F55" s="670"/>
      <c r="G55" s="670"/>
      <c r="H55" s="670"/>
      <c r="I55" s="668"/>
      <c r="J55" s="668"/>
      <c r="K55" s="670"/>
      <c r="L55" s="670"/>
      <c r="M55" s="670"/>
      <c r="N55" s="670"/>
      <c r="O55" s="670"/>
      <c r="P55" s="754"/>
      <c r="Q55" s="754"/>
      <c r="R55" s="754"/>
      <c r="S55" s="754"/>
      <c r="T55" s="754"/>
      <c r="U55" s="754"/>
      <c r="V55" s="754"/>
      <c r="W55" s="754"/>
      <c r="X55" s="754"/>
      <c r="Y55" s="754"/>
    </row>
    <row r="56" spans="1:25" ht="21" customHeight="1">
      <c r="A56" s="95" t="s">
        <v>3</v>
      </c>
      <c r="B56" s="106">
        <f t="shared" ref="B56:I56" si="12">SUM(B38:B49)</f>
        <v>714</v>
      </c>
      <c r="C56" s="106">
        <f t="shared" si="12"/>
        <v>489</v>
      </c>
      <c r="D56" s="106">
        <f t="shared" si="12"/>
        <v>525</v>
      </c>
      <c r="E56" s="106">
        <f t="shared" si="12"/>
        <v>469</v>
      </c>
      <c r="F56" s="106">
        <f t="shared" si="12"/>
        <v>48</v>
      </c>
      <c r="G56" s="106">
        <f t="shared" si="12"/>
        <v>0</v>
      </c>
      <c r="H56" s="106">
        <f t="shared" si="12"/>
        <v>0</v>
      </c>
      <c r="I56" s="106">
        <f t="shared" si="12"/>
        <v>1758</v>
      </c>
      <c r="J56" s="106">
        <f t="shared" ref="J56:O56" si="13">SUM(J38:J49)</f>
        <v>571</v>
      </c>
      <c r="K56" s="106">
        <f>SUM(K38:K49)</f>
        <v>530</v>
      </c>
      <c r="L56" s="106">
        <f t="shared" si="13"/>
        <v>570</v>
      </c>
      <c r="M56" s="106">
        <f t="shared" si="13"/>
        <v>580</v>
      </c>
      <c r="N56" s="106">
        <f t="shared" si="13"/>
        <v>660</v>
      </c>
      <c r="O56" s="106">
        <f t="shared" si="13"/>
        <v>660</v>
      </c>
      <c r="P56" s="377"/>
      <c r="Q56" s="377"/>
      <c r="R56" s="377"/>
      <c r="S56" s="377"/>
      <c r="T56" s="377"/>
      <c r="U56" s="377"/>
      <c r="V56" s="377"/>
      <c r="W56" s="377"/>
      <c r="X56" s="377"/>
      <c r="Y56" s="377"/>
    </row>
    <row r="57" spans="1:25" ht="21" customHeight="1">
      <c r="A57" s="678" t="s">
        <v>48</v>
      </c>
      <c r="B57" s="678"/>
      <c r="C57" s="678"/>
      <c r="D57" s="661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735"/>
      <c r="Q57" s="735"/>
      <c r="R57" s="735"/>
      <c r="S57" s="735"/>
      <c r="T57" s="735"/>
      <c r="U57" s="735"/>
      <c r="V57" s="735"/>
      <c r="W57" s="735"/>
      <c r="X57" s="735"/>
      <c r="Y57" s="735"/>
    </row>
    <row r="58" spans="1:25" ht="21" customHeight="1">
      <c r="A58" s="250" t="s">
        <v>13</v>
      </c>
      <c r="B58" s="250">
        <v>1</v>
      </c>
      <c r="C58" s="250">
        <v>1</v>
      </c>
      <c r="D58" s="251">
        <v>5</v>
      </c>
      <c r="E58" s="252"/>
      <c r="F58" s="252">
        <v>2</v>
      </c>
      <c r="G58" s="252"/>
      <c r="H58" s="252"/>
      <c r="I58" s="252">
        <f>SUM(B58:H58)</f>
        <v>9</v>
      </c>
      <c r="J58" s="252">
        <f>B58</f>
        <v>1</v>
      </c>
      <c r="K58" s="251">
        <v>10</v>
      </c>
      <c r="L58" s="251">
        <v>10</v>
      </c>
      <c r="M58" s="251">
        <v>10</v>
      </c>
      <c r="N58" s="251">
        <v>10</v>
      </c>
      <c r="O58" s="251">
        <v>10</v>
      </c>
      <c r="P58" s="691"/>
      <c r="Q58" s="691"/>
      <c r="R58" s="691"/>
      <c r="S58" s="691"/>
      <c r="T58" s="691"/>
      <c r="U58" s="691"/>
      <c r="V58" s="691"/>
      <c r="W58" s="691"/>
      <c r="X58" s="691"/>
      <c r="Y58" s="691"/>
    </row>
    <row r="59" spans="1:25" ht="21" customHeight="1">
      <c r="A59" s="250" t="s">
        <v>174</v>
      </c>
      <c r="B59" s="250"/>
      <c r="C59" s="250"/>
      <c r="D59" s="251">
        <v>1</v>
      </c>
      <c r="E59" s="252"/>
      <c r="F59" s="252">
        <v>2</v>
      </c>
      <c r="G59" s="252"/>
      <c r="H59" s="252"/>
      <c r="I59" s="252">
        <f>SUM(B59:H59)</f>
        <v>3</v>
      </c>
      <c r="J59" s="252">
        <f>B59</f>
        <v>0</v>
      </c>
      <c r="K59" s="251">
        <v>5</v>
      </c>
      <c r="L59" s="251">
        <v>5</v>
      </c>
      <c r="M59" s="251">
        <v>5</v>
      </c>
      <c r="N59" s="251">
        <v>5</v>
      </c>
      <c r="O59" s="251">
        <v>5</v>
      </c>
      <c r="P59" s="691"/>
      <c r="Q59" s="691"/>
      <c r="R59" s="691"/>
      <c r="S59" s="691"/>
      <c r="T59" s="691"/>
      <c r="U59" s="691"/>
      <c r="V59" s="691"/>
      <c r="W59" s="691"/>
      <c r="X59" s="691"/>
      <c r="Y59" s="691"/>
    </row>
    <row r="60" spans="1:25" ht="21" customHeight="1">
      <c r="A60" s="250"/>
      <c r="B60" s="250"/>
      <c r="C60" s="250"/>
      <c r="D60" s="251"/>
      <c r="E60" s="252"/>
      <c r="F60" s="252"/>
      <c r="G60" s="252"/>
      <c r="H60" s="252"/>
      <c r="I60" s="252"/>
      <c r="J60" s="252"/>
      <c r="K60" s="251"/>
      <c r="L60" s="251"/>
      <c r="M60" s="251"/>
      <c r="N60" s="251"/>
      <c r="O60" s="251"/>
      <c r="P60" s="691"/>
      <c r="Q60" s="691"/>
      <c r="R60" s="691"/>
      <c r="S60" s="691"/>
      <c r="T60" s="691"/>
      <c r="U60" s="691"/>
      <c r="V60" s="691"/>
      <c r="W60" s="691"/>
      <c r="X60" s="691"/>
      <c r="Y60" s="691"/>
    </row>
    <row r="61" spans="1:25" ht="21" customHeight="1">
      <c r="A61" s="665"/>
      <c r="B61" s="665"/>
      <c r="C61" s="665"/>
      <c r="D61" s="667"/>
      <c r="E61" s="668"/>
      <c r="F61" s="668"/>
      <c r="G61" s="668"/>
      <c r="H61" s="668"/>
      <c r="I61" s="668"/>
      <c r="J61" s="668"/>
      <c r="K61" s="667"/>
      <c r="L61" s="667"/>
      <c r="M61" s="667"/>
      <c r="N61" s="667"/>
      <c r="O61" s="667"/>
      <c r="P61" s="754"/>
      <c r="Q61" s="754"/>
      <c r="R61" s="754"/>
      <c r="S61" s="754"/>
      <c r="T61" s="754"/>
      <c r="U61" s="754"/>
      <c r="V61" s="754"/>
      <c r="W61" s="754"/>
      <c r="X61" s="754"/>
      <c r="Y61" s="754"/>
    </row>
    <row r="62" spans="1:25" ht="21" customHeight="1">
      <c r="A62" s="95" t="s">
        <v>3</v>
      </c>
      <c r="B62" s="106">
        <f t="shared" ref="B62:O62" si="14">SUM(B58:B59)</f>
        <v>1</v>
      </c>
      <c r="C62" s="106">
        <f t="shared" si="14"/>
        <v>1</v>
      </c>
      <c r="D62" s="106">
        <f t="shared" si="14"/>
        <v>6</v>
      </c>
      <c r="E62" s="106">
        <f t="shared" si="14"/>
        <v>0</v>
      </c>
      <c r="F62" s="106">
        <f t="shared" si="14"/>
        <v>4</v>
      </c>
      <c r="G62" s="106">
        <f t="shared" si="14"/>
        <v>0</v>
      </c>
      <c r="H62" s="106">
        <f t="shared" si="14"/>
        <v>0</v>
      </c>
      <c r="I62" s="106">
        <f t="shared" si="14"/>
        <v>12</v>
      </c>
      <c r="J62" s="106">
        <f t="shared" si="14"/>
        <v>1</v>
      </c>
      <c r="K62" s="106">
        <f t="shared" si="14"/>
        <v>15</v>
      </c>
      <c r="L62" s="106">
        <f t="shared" si="14"/>
        <v>15</v>
      </c>
      <c r="M62" s="106">
        <f t="shared" si="14"/>
        <v>15</v>
      </c>
      <c r="N62" s="106">
        <f t="shared" si="14"/>
        <v>15</v>
      </c>
      <c r="O62" s="106">
        <f t="shared" si="14"/>
        <v>15</v>
      </c>
      <c r="P62" s="377"/>
      <c r="Q62" s="377"/>
      <c r="R62" s="377"/>
      <c r="S62" s="377"/>
      <c r="T62" s="377"/>
      <c r="U62" s="377"/>
      <c r="V62" s="377"/>
      <c r="W62" s="377"/>
      <c r="X62" s="377"/>
      <c r="Y62" s="377"/>
    </row>
    <row r="63" spans="1:25" ht="21" customHeight="1">
      <c r="A63" s="759" t="s">
        <v>49</v>
      </c>
      <c r="B63" s="759"/>
      <c r="C63" s="759"/>
      <c r="D63" s="757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693"/>
      <c r="Q63" s="693"/>
      <c r="R63" s="693"/>
      <c r="S63" s="693"/>
      <c r="T63" s="693"/>
      <c r="U63" s="693"/>
      <c r="V63" s="693"/>
      <c r="W63" s="693"/>
      <c r="X63" s="693"/>
      <c r="Y63" s="693"/>
    </row>
    <row r="64" spans="1:25" ht="21" customHeight="1">
      <c r="A64" s="250" t="s">
        <v>13</v>
      </c>
      <c r="B64" s="250">
        <v>1</v>
      </c>
      <c r="C64" s="250">
        <v>1</v>
      </c>
      <c r="D64" s="251">
        <v>4</v>
      </c>
      <c r="E64" s="252"/>
      <c r="F64" s="252"/>
      <c r="G64" s="252">
        <v>2</v>
      </c>
      <c r="H64" s="252"/>
      <c r="I64" s="252">
        <f>SUM(B64:H64)</f>
        <v>8</v>
      </c>
      <c r="J64" s="252">
        <f>B64</f>
        <v>1</v>
      </c>
      <c r="K64" s="252">
        <v>10</v>
      </c>
      <c r="L64" s="252">
        <v>10</v>
      </c>
      <c r="M64" s="252">
        <v>10</v>
      </c>
      <c r="N64" s="252">
        <v>10</v>
      </c>
      <c r="O64" s="252">
        <v>10</v>
      </c>
      <c r="P64" s="691"/>
      <c r="Q64" s="691"/>
      <c r="R64" s="691"/>
      <c r="S64" s="691"/>
      <c r="T64" s="691"/>
      <c r="U64" s="691"/>
      <c r="V64" s="691"/>
      <c r="W64" s="691"/>
      <c r="X64" s="691"/>
      <c r="Y64" s="691"/>
    </row>
    <row r="65" spans="1:25" ht="21" customHeight="1">
      <c r="A65" s="250"/>
      <c r="B65" s="250"/>
      <c r="C65" s="25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691"/>
      <c r="Q65" s="691"/>
      <c r="R65" s="691"/>
      <c r="S65" s="691"/>
      <c r="T65" s="691"/>
      <c r="U65" s="691"/>
      <c r="V65" s="691"/>
      <c r="W65" s="691"/>
      <c r="X65" s="691"/>
      <c r="Y65" s="691"/>
    </row>
    <row r="66" spans="1:25" ht="21" customHeight="1">
      <c r="A66" s="665"/>
      <c r="B66" s="665"/>
      <c r="C66" s="665"/>
      <c r="D66" s="667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754"/>
      <c r="Q66" s="754"/>
      <c r="R66" s="754"/>
      <c r="S66" s="754"/>
      <c r="T66" s="754"/>
      <c r="U66" s="754"/>
      <c r="V66" s="754"/>
      <c r="W66" s="754"/>
      <c r="X66" s="754"/>
      <c r="Y66" s="754"/>
    </row>
    <row r="67" spans="1:25" ht="21" customHeight="1">
      <c r="A67" s="95" t="s">
        <v>3</v>
      </c>
      <c r="B67" s="106">
        <f t="shared" ref="B67:I67" si="15">SUM(B64:B64)</f>
        <v>1</v>
      </c>
      <c r="C67" s="106">
        <f t="shared" si="15"/>
        <v>1</v>
      </c>
      <c r="D67" s="106">
        <f t="shared" si="15"/>
        <v>4</v>
      </c>
      <c r="E67" s="106">
        <f t="shared" si="15"/>
        <v>0</v>
      </c>
      <c r="F67" s="106">
        <f t="shared" si="15"/>
        <v>0</v>
      </c>
      <c r="G67" s="106">
        <f t="shared" si="15"/>
        <v>2</v>
      </c>
      <c r="H67" s="106">
        <f t="shared" si="15"/>
        <v>0</v>
      </c>
      <c r="I67" s="106">
        <f t="shared" si="15"/>
        <v>8</v>
      </c>
      <c r="J67" s="106">
        <f t="shared" ref="J67:Y67" si="16">SUM(J64:J64)</f>
        <v>1</v>
      </c>
      <c r="K67" s="106">
        <f t="shared" si="16"/>
        <v>10</v>
      </c>
      <c r="L67" s="106">
        <f t="shared" si="16"/>
        <v>10</v>
      </c>
      <c r="M67" s="106">
        <f t="shared" si="16"/>
        <v>10</v>
      </c>
      <c r="N67" s="106">
        <f t="shared" si="16"/>
        <v>10</v>
      </c>
      <c r="O67" s="106">
        <f t="shared" si="16"/>
        <v>10</v>
      </c>
      <c r="P67" s="106">
        <f t="shared" si="16"/>
        <v>0</v>
      </c>
      <c r="Q67" s="106">
        <f t="shared" si="16"/>
        <v>0</v>
      </c>
      <c r="R67" s="106">
        <f t="shared" si="16"/>
        <v>0</v>
      </c>
      <c r="S67" s="106">
        <f t="shared" si="16"/>
        <v>0</v>
      </c>
      <c r="T67" s="106">
        <f t="shared" si="16"/>
        <v>0</v>
      </c>
      <c r="U67" s="106">
        <f t="shared" si="16"/>
        <v>0</v>
      </c>
      <c r="V67" s="106">
        <f t="shared" si="16"/>
        <v>0</v>
      </c>
      <c r="W67" s="106">
        <f t="shared" si="16"/>
        <v>0</v>
      </c>
      <c r="X67" s="106">
        <f t="shared" si="16"/>
        <v>0</v>
      </c>
      <c r="Y67" s="106">
        <f t="shared" si="16"/>
        <v>0</v>
      </c>
    </row>
    <row r="68" spans="1:25" ht="21" customHeight="1">
      <c r="A68" s="101" t="s">
        <v>216</v>
      </c>
      <c r="B68" s="110" t="e">
        <f>SUM(B92,B107,#REF!)</f>
        <v>#REF!</v>
      </c>
      <c r="C68" s="110" t="e">
        <f>SUM(C92,C107,#REF!)</f>
        <v>#REF!</v>
      </c>
      <c r="D68" s="110" t="e">
        <f>SUM(D92,D107,#REF!)</f>
        <v>#REF!</v>
      </c>
      <c r="E68" s="110" t="e">
        <f>SUM(E92,E107,#REF!)</f>
        <v>#REF!</v>
      </c>
      <c r="F68" s="110" t="e">
        <f>SUM(F92,F107,#REF!)</f>
        <v>#REF!</v>
      </c>
      <c r="G68" s="595" t="e">
        <f>SUM(G92,G107,#REF!)</f>
        <v>#REF!</v>
      </c>
      <c r="H68" s="110" t="e">
        <f>SUM(H92,H107,#REF!)</f>
        <v>#REF!</v>
      </c>
      <c r="I68" s="110">
        <f>I92+I107</f>
        <v>939</v>
      </c>
      <c r="J68" s="110">
        <f>J92+J107</f>
        <v>272</v>
      </c>
      <c r="K68" s="110">
        <f t="shared" ref="K68:Y68" si="17">K92+K107</f>
        <v>580</v>
      </c>
      <c r="L68" s="110">
        <f t="shared" si="17"/>
        <v>860</v>
      </c>
      <c r="M68" s="110">
        <f t="shared" si="17"/>
        <v>630</v>
      </c>
      <c r="N68" s="110">
        <f t="shared" si="17"/>
        <v>630</v>
      </c>
      <c r="O68" s="110">
        <f t="shared" si="17"/>
        <v>630</v>
      </c>
      <c r="P68" s="110">
        <f t="shared" si="17"/>
        <v>0</v>
      </c>
      <c r="Q68" s="110">
        <f t="shared" si="17"/>
        <v>0</v>
      </c>
      <c r="R68" s="110">
        <f t="shared" si="17"/>
        <v>0</v>
      </c>
      <c r="S68" s="110">
        <f t="shared" si="17"/>
        <v>0</v>
      </c>
      <c r="T68" s="110">
        <f t="shared" si="17"/>
        <v>0</v>
      </c>
      <c r="U68" s="110">
        <f t="shared" si="17"/>
        <v>0</v>
      </c>
      <c r="V68" s="110">
        <f t="shared" si="17"/>
        <v>0</v>
      </c>
      <c r="W68" s="110">
        <f t="shared" si="17"/>
        <v>0</v>
      </c>
      <c r="X68" s="110">
        <f t="shared" si="17"/>
        <v>0</v>
      </c>
      <c r="Y68" s="110">
        <f t="shared" si="17"/>
        <v>0</v>
      </c>
    </row>
    <row r="69" spans="1:25" ht="21" hidden="1" customHeight="1">
      <c r="A69" s="259" t="s">
        <v>242</v>
      </c>
      <c r="B69" s="259"/>
      <c r="C69" s="259"/>
      <c r="D69" s="260"/>
      <c r="E69" s="114"/>
      <c r="F69" s="114"/>
      <c r="G69" s="114"/>
      <c r="H69" s="114"/>
      <c r="I69" s="254">
        <f>SUM(B69:H69)</f>
        <v>0</v>
      </c>
      <c r="J69" s="161"/>
      <c r="K69" s="161"/>
      <c r="L69" s="161"/>
      <c r="M69" s="161"/>
      <c r="N69" s="161"/>
      <c r="O69" s="161"/>
      <c r="P69" s="693"/>
      <c r="Q69" s="693"/>
      <c r="R69" s="693"/>
      <c r="S69" s="693"/>
      <c r="T69" s="693"/>
      <c r="U69" s="693"/>
      <c r="V69" s="693"/>
      <c r="W69" s="693"/>
      <c r="X69" s="693"/>
      <c r="Y69" s="693"/>
    </row>
    <row r="70" spans="1:25" ht="21" hidden="1" customHeight="1">
      <c r="A70" s="761" t="s">
        <v>243</v>
      </c>
      <c r="B70" s="398"/>
      <c r="C70" s="398"/>
      <c r="D70" s="675">
        <v>16</v>
      </c>
      <c r="E70" s="664">
        <v>14</v>
      </c>
      <c r="F70" s="664">
        <v>14</v>
      </c>
      <c r="G70" s="664"/>
      <c r="H70" s="664"/>
      <c r="I70" s="662">
        <f t="shared" ref="I70:I82" si="18">SUM(B70:H70)</f>
        <v>44</v>
      </c>
      <c r="J70" s="662">
        <f t="shared" ref="J70:J75" si="19">B70</f>
        <v>0</v>
      </c>
      <c r="K70" s="664"/>
      <c r="L70" s="664"/>
      <c r="M70" s="664"/>
      <c r="N70" s="664"/>
      <c r="O70" s="750"/>
      <c r="P70" s="691"/>
      <c r="Q70" s="691"/>
      <c r="R70" s="691"/>
      <c r="S70" s="691"/>
      <c r="T70" s="691"/>
      <c r="U70" s="691"/>
      <c r="V70" s="691"/>
      <c r="W70" s="691"/>
      <c r="X70" s="691"/>
      <c r="Y70" s="691"/>
    </row>
    <row r="71" spans="1:25" ht="21" customHeight="1">
      <c r="A71" s="762" t="s">
        <v>309</v>
      </c>
      <c r="B71" s="100">
        <v>37</v>
      </c>
      <c r="C71" s="100">
        <v>17</v>
      </c>
      <c r="D71" s="124"/>
      <c r="E71" s="108"/>
      <c r="F71" s="108"/>
      <c r="G71" s="108"/>
      <c r="H71" s="108"/>
      <c r="I71" s="252">
        <f t="shared" si="18"/>
        <v>54</v>
      </c>
      <c r="J71" s="252">
        <f t="shared" si="19"/>
        <v>37</v>
      </c>
      <c r="K71" s="108">
        <v>50</v>
      </c>
      <c r="L71" s="108">
        <v>80</v>
      </c>
      <c r="M71" s="108">
        <v>0</v>
      </c>
      <c r="N71" s="108">
        <v>0</v>
      </c>
      <c r="O71" s="751">
        <v>0</v>
      </c>
      <c r="P71" s="691"/>
      <c r="Q71" s="691"/>
      <c r="R71" s="691"/>
      <c r="S71" s="691"/>
      <c r="T71" s="691"/>
      <c r="U71" s="691"/>
      <c r="V71" s="691"/>
      <c r="W71" s="691"/>
      <c r="X71" s="691"/>
      <c r="Y71" s="691"/>
    </row>
    <row r="72" spans="1:25" ht="21" customHeight="1">
      <c r="A72" s="762" t="s">
        <v>310</v>
      </c>
      <c r="B72" s="100">
        <v>49</v>
      </c>
      <c r="C72" s="100">
        <v>59</v>
      </c>
      <c r="D72" s="124"/>
      <c r="E72" s="108"/>
      <c r="F72" s="108"/>
      <c r="G72" s="108"/>
      <c r="H72" s="108"/>
      <c r="I72" s="252">
        <f t="shared" si="18"/>
        <v>108</v>
      </c>
      <c r="J72" s="252">
        <f t="shared" si="19"/>
        <v>49</v>
      </c>
      <c r="K72" s="108">
        <v>100</v>
      </c>
      <c r="L72" s="108">
        <v>100</v>
      </c>
      <c r="M72" s="108">
        <v>0</v>
      </c>
      <c r="N72" s="108">
        <v>0</v>
      </c>
      <c r="O72" s="751">
        <v>0</v>
      </c>
      <c r="P72" s="691"/>
      <c r="Q72" s="691"/>
      <c r="R72" s="691"/>
      <c r="S72" s="691"/>
      <c r="T72" s="691"/>
      <c r="U72" s="691"/>
      <c r="V72" s="691"/>
      <c r="W72" s="691"/>
      <c r="X72" s="691"/>
      <c r="Y72" s="691"/>
    </row>
    <row r="73" spans="1:25" ht="21" customHeight="1">
      <c r="A73" s="762" t="s">
        <v>311</v>
      </c>
      <c r="B73" s="100">
        <v>34</v>
      </c>
      <c r="C73" s="100">
        <v>26</v>
      </c>
      <c r="D73" s="124"/>
      <c r="E73" s="108"/>
      <c r="F73" s="108"/>
      <c r="G73" s="108"/>
      <c r="H73" s="108"/>
      <c r="I73" s="252">
        <f t="shared" si="18"/>
        <v>60</v>
      </c>
      <c r="J73" s="252">
        <f t="shared" si="19"/>
        <v>34</v>
      </c>
      <c r="K73" s="108">
        <v>50</v>
      </c>
      <c r="L73" s="108">
        <v>80</v>
      </c>
      <c r="M73" s="108">
        <v>50</v>
      </c>
      <c r="N73" s="108">
        <v>50</v>
      </c>
      <c r="O73" s="751">
        <v>50</v>
      </c>
      <c r="P73" s="691"/>
      <c r="Q73" s="691"/>
      <c r="R73" s="691"/>
      <c r="S73" s="691"/>
      <c r="T73" s="691"/>
      <c r="U73" s="691"/>
      <c r="V73" s="691"/>
      <c r="W73" s="691"/>
      <c r="X73" s="691"/>
      <c r="Y73" s="691"/>
    </row>
    <row r="74" spans="1:25" ht="21" customHeight="1">
      <c r="A74" s="762" t="s">
        <v>312</v>
      </c>
      <c r="B74" s="100">
        <v>71</v>
      </c>
      <c r="C74" s="100">
        <v>45</v>
      </c>
      <c r="D74" s="124"/>
      <c r="E74" s="108"/>
      <c r="F74" s="108"/>
      <c r="G74" s="108"/>
      <c r="H74" s="108"/>
      <c r="I74" s="252">
        <f t="shared" si="18"/>
        <v>116</v>
      </c>
      <c r="J74" s="252">
        <f t="shared" si="19"/>
        <v>71</v>
      </c>
      <c r="K74" s="108">
        <v>50</v>
      </c>
      <c r="L74" s="108">
        <v>80</v>
      </c>
      <c r="M74" s="108">
        <v>50</v>
      </c>
      <c r="N74" s="108">
        <v>50</v>
      </c>
      <c r="O74" s="751">
        <v>50</v>
      </c>
      <c r="P74" s="691"/>
      <c r="Q74" s="691"/>
      <c r="R74" s="691"/>
      <c r="S74" s="691"/>
      <c r="T74" s="691"/>
      <c r="U74" s="691"/>
      <c r="V74" s="691"/>
      <c r="W74" s="691"/>
      <c r="X74" s="691"/>
      <c r="Y74" s="691"/>
    </row>
    <row r="75" spans="1:25" ht="21" hidden="1" customHeight="1">
      <c r="A75" s="762" t="s">
        <v>218</v>
      </c>
      <c r="B75" s="100"/>
      <c r="C75" s="100"/>
      <c r="D75" s="124">
        <v>61</v>
      </c>
      <c r="E75" s="108">
        <v>58</v>
      </c>
      <c r="F75" s="108">
        <v>4</v>
      </c>
      <c r="G75" s="108"/>
      <c r="H75" s="108"/>
      <c r="I75" s="252">
        <f t="shared" si="18"/>
        <v>123</v>
      </c>
      <c r="J75" s="252">
        <f t="shared" si="19"/>
        <v>0</v>
      </c>
      <c r="K75" s="108"/>
      <c r="L75" s="108"/>
      <c r="M75" s="108"/>
      <c r="N75" s="108"/>
      <c r="O75" s="751"/>
      <c r="P75" s="691"/>
      <c r="Q75" s="691"/>
      <c r="R75" s="691"/>
      <c r="S75" s="691"/>
      <c r="T75" s="691"/>
      <c r="U75" s="691"/>
      <c r="V75" s="691"/>
      <c r="W75" s="691"/>
      <c r="X75" s="691"/>
      <c r="Y75" s="691"/>
    </row>
    <row r="76" spans="1:25" ht="21" hidden="1" customHeight="1">
      <c r="A76" s="762" t="s">
        <v>288</v>
      </c>
      <c r="B76" s="100"/>
      <c r="C76" s="100"/>
      <c r="D76" s="124"/>
      <c r="E76" s="108"/>
      <c r="F76" s="108"/>
      <c r="G76" s="108"/>
      <c r="H76" s="108"/>
      <c r="I76" s="252">
        <f t="shared" si="18"/>
        <v>0</v>
      </c>
      <c r="J76" s="108"/>
      <c r="K76" s="108"/>
      <c r="L76" s="108"/>
      <c r="M76" s="108"/>
      <c r="N76" s="108"/>
      <c r="O76" s="751"/>
      <c r="P76" s="691"/>
      <c r="Q76" s="691"/>
      <c r="R76" s="691"/>
      <c r="S76" s="691"/>
      <c r="T76" s="691"/>
      <c r="U76" s="691"/>
      <c r="V76" s="691"/>
      <c r="W76" s="691"/>
      <c r="X76" s="691"/>
      <c r="Y76" s="691"/>
    </row>
    <row r="77" spans="1:25" ht="21" hidden="1" customHeight="1">
      <c r="A77" s="762" t="s">
        <v>245</v>
      </c>
      <c r="B77" s="100"/>
      <c r="C77" s="100"/>
      <c r="D77" s="124"/>
      <c r="E77" s="108">
        <v>10</v>
      </c>
      <c r="F77" s="108">
        <v>2</v>
      </c>
      <c r="G77" s="108"/>
      <c r="H77" s="108"/>
      <c r="I77" s="252">
        <f t="shared" si="18"/>
        <v>12</v>
      </c>
      <c r="J77" s="252">
        <f t="shared" ref="J77:J86" si="20">B77</f>
        <v>0</v>
      </c>
      <c r="K77" s="108"/>
      <c r="L77" s="108"/>
      <c r="M77" s="108"/>
      <c r="N77" s="108"/>
      <c r="O77" s="751"/>
      <c r="P77" s="691"/>
      <c r="Q77" s="691"/>
      <c r="R77" s="691"/>
      <c r="S77" s="691"/>
      <c r="T77" s="691"/>
      <c r="U77" s="691"/>
      <c r="V77" s="691"/>
      <c r="W77" s="691"/>
      <c r="X77" s="691"/>
      <c r="Y77" s="691"/>
    </row>
    <row r="78" spans="1:25" ht="21" hidden="1" customHeight="1">
      <c r="A78" s="762" t="s">
        <v>176</v>
      </c>
      <c r="B78" s="100"/>
      <c r="C78" s="100"/>
      <c r="D78" s="124"/>
      <c r="E78" s="108">
        <v>16</v>
      </c>
      <c r="F78" s="108">
        <v>1</v>
      </c>
      <c r="G78" s="108"/>
      <c r="H78" s="108"/>
      <c r="I78" s="252">
        <f t="shared" si="18"/>
        <v>17</v>
      </c>
      <c r="J78" s="252">
        <f t="shared" si="20"/>
        <v>0</v>
      </c>
      <c r="K78" s="108"/>
      <c r="L78" s="108"/>
      <c r="M78" s="108"/>
      <c r="N78" s="108"/>
      <c r="O78" s="751"/>
      <c r="P78" s="691"/>
      <c r="Q78" s="691"/>
      <c r="R78" s="691"/>
      <c r="S78" s="691"/>
      <c r="T78" s="691"/>
      <c r="U78" s="691"/>
      <c r="V78" s="691"/>
      <c r="W78" s="691"/>
      <c r="X78" s="691"/>
      <c r="Y78" s="691"/>
    </row>
    <row r="79" spans="1:25" ht="21" hidden="1" customHeight="1">
      <c r="A79" s="762" t="s">
        <v>246</v>
      </c>
      <c r="B79" s="100"/>
      <c r="C79" s="100"/>
      <c r="D79" s="124">
        <v>34</v>
      </c>
      <c r="E79" s="108">
        <v>32</v>
      </c>
      <c r="F79" s="108">
        <v>3</v>
      </c>
      <c r="G79" s="108"/>
      <c r="H79" s="108"/>
      <c r="I79" s="252">
        <f t="shared" si="18"/>
        <v>69</v>
      </c>
      <c r="J79" s="252">
        <f t="shared" si="20"/>
        <v>0</v>
      </c>
      <c r="K79" s="108"/>
      <c r="L79" s="108"/>
      <c r="M79" s="108"/>
      <c r="N79" s="108"/>
      <c r="O79" s="751"/>
      <c r="P79" s="691"/>
      <c r="Q79" s="691"/>
      <c r="R79" s="691"/>
      <c r="S79" s="691"/>
      <c r="T79" s="691"/>
      <c r="U79" s="691"/>
      <c r="V79" s="691"/>
      <c r="W79" s="691"/>
      <c r="X79" s="691"/>
      <c r="Y79" s="691"/>
    </row>
    <row r="80" spans="1:25" ht="21" customHeight="1">
      <c r="A80" s="762" t="s">
        <v>247</v>
      </c>
      <c r="B80" s="100">
        <v>63</v>
      </c>
      <c r="C80" s="100">
        <v>31</v>
      </c>
      <c r="D80" s="124">
        <v>42</v>
      </c>
      <c r="E80" s="108">
        <v>29</v>
      </c>
      <c r="F80" s="108">
        <v>5</v>
      </c>
      <c r="G80" s="108"/>
      <c r="H80" s="108"/>
      <c r="I80" s="252">
        <f t="shared" si="18"/>
        <v>170</v>
      </c>
      <c r="J80" s="252">
        <f t="shared" si="20"/>
        <v>63</v>
      </c>
      <c r="K80" s="108">
        <v>50</v>
      </c>
      <c r="L80" s="108">
        <v>80</v>
      </c>
      <c r="M80" s="108">
        <v>50</v>
      </c>
      <c r="N80" s="108">
        <v>50</v>
      </c>
      <c r="O80" s="751">
        <v>50</v>
      </c>
      <c r="P80" s="691"/>
      <c r="Q80" s="691"/>
      <c r="R80" s="691"/>
      <c r="S80" s="691"/>
      <c r="T80" s="691"/>
      <c r="U80" s="691"/>
      <c r="V80" s="691"/>
      <c r="W80" s="691"/>
      <c r="X80" s="691"/>
      <c r="Y80" s="691"/>
    </row>
    <row r="81" spans="1:25" ht="21" customHeight="1">
      <c r="A81" s="762" t="s">
        <v>248</v>
      </c>
      <c r="B81" s="100">
        <v>18</v>
      </c>
      <c r="C81" s="100">
        <v>10</v>
      </c>
      <c r="D81" s="124">
        <v>13</v>
      </c>
      <c r="E81" s="108">
        <v>17</v>
      </c>
      <c r="F81" s="108">
        <v>16</v>
      </c>
      <c r="G81" s="108"/>
      <c r="H81" s="108"/>
      <c r="I81" s="252">
        <f t="shared" si="18"/>
        <v>74</v>
      </c>
      <c r="J81" s="252">
        <f t="shared" si="20"/>
        <v>18</v>
      </c>
      <c r="K81" s="108">
        <v>50</v>
      </c>
      <c r="L81" s="108">
        <v>80</v>
      </c>
      <c r="M81" s="108">
        <v>50</v>
      </c>
      <c r="N81" s="108">
        <v>50</v>
      </c>
      <c r="O81" s="751">
        <v>50</v>
      </c>
      <c r="P81" s="691"/>
      <c r="Q81" s="691"/>
      <c r="R81" s="691"/>
      <c r="S81" s="691"/>
      <c r="T81" s="691"/>
      <c r="U81" s="691"/>
      <c r="V81" s="691"/>
      <c r="W81" s="691"/>
      <c r="X81" s="691"/>
      <c r="Y81" s="691"/>
    </row>
    <row r="82" spans="1:25" ht="21" hidden="1" customHeight="1">
      <c r="A82" s="762" t="s">
        <v>244</v>
      </c>
      <c r="B82" s="100"/>
      <c r="C82" s="100"/>
      <c r="D82" s="124">
        <v>19</v>
      </c>
      <c r="E82" s="108">
        <v>7</v>
      </c>
      <c r="F82" s="108">
        <v>1</v>
      </c>
      <c r="G82" s="108"/>
      <c r="H82" s="108"/>
      <c r="I82" s="252">
        <f t="shared" si="18"/>
        <v>27</v>
      </c>
      <c r="J82" s="252">
        <f t="shared" si="20"/>
        <v>0</v>
      </c>
      <c r="K82" s="108"/>
      <c r="L82" s="108"/>
      <c r="M82" s="108"/>
      <c r="N82" s="108"/>
      <c r="O82" s="751"/>
      <c r="P82" s="691"/>
      <c r="Q82" s="691"/>
      <c r="R82" s="691"/>
      <c r="S82" s="691"/>
      <c r="T82" s="691"/>
      <c r="U82" s="691"/>
      <c r="V82" s="691"/>
      <c r="W82" s="691"/>
      <c r="X82" s="691"/>
      <c r="Y82" s="691"/>
    </row>
    <row r="83" spans="1:25" ht="21" customHeight="1">
      <c r="A83" s="762" t="s">
        <v>370</v>
      </c>
      <c r="B83" s="100"/>
      <c r="C83" s="100"/>
      <c r="D83" s="124"/>
      <c r="E83" s="108"/>
      <c r="F83" s="108"/>
      <c r="G83" s="108"/>
      <c r="H83" s="108"/>
      <c r="I83" s="252">
        <f>SUM(B83:H83)</f>
        <v>0</v>
      </c>
      <c r="J83" s="252">
        <f t="shared" si="20"/>
        <v>0</v>
      </c>
      <c r="K83" s="108">
        <v>0</v>
      </c>
      <c r="L83" s="108">
        <v>0</v>
      </c>
      <c r="M83" s="108">
        <v>50</v>
      </c>
      <c r="N83" s="108">
        <v>50</v>
      </c>
      <c r="O83" s="751">
        <v>50</v>
      </c>
      <c r="P83" s="691"/>
      <c r="Q83" s="691"/>
      <c r="R83" s="691"/>
      <c r="S83" s="691"/>
      <c r="T83" s="691"/>
      <c r="U83" s="691"/>
      <c r="V83" s="691"/>
      <c r="W83" s="691"/>
      <c r="X83" s="691"/>
      <c r="Y83" s="691"/>
    </row>
    <row r="84" spans="1:25" ht="21" customHeight="1">
      <c r="A84" s="762" t="s">
        <v>371</v>
      </c>
      <c r="B84" s="100"/>
      <c r="C84" s="100"/>
      <c r="D84" s="124"/>
      <c r="E84" s="108"/>
      <c r="F84" s="108"/>
      <c r="G84" s="108"/>
      <c r="H84" s="108"/>
      <c r="I84" s="252">
        <f>SUM(B84:H84)</f>
        <v>0</v>
      </c>
      <c r="J84" s="252">
        <f t="shared" si="20"/>
        <v>0</v>
      </c>
      <c r="K84" s="108">
        <v>0</v>
      </c>
      <c r="L84" s="108">
        <v>0</v>
      </c>
      <c r="M84" s="108">
        <v>50</v>
      </c>
      <c r="N84" s="108">
        <v>50</v>
      </c>
      <c r="O84" s="751">
        <v>50</v>
      </c>
      <c r="P84" s="691"/>
      <c r="Q84" s="691"/>
      <c r="R84" s="691"/>
      <c r="S84" s="691"/>
      <c r="T84" s="691"/>
      <c r="U84" s="691"/>
      <c r="V84" s="691"/>
      <c r="W84" s="691"/>
      <c r="X84" s="691"/>
      <c r="Y84" s="691"/>
    </row>
    <row r="85" spans="1:25" ht="21" customHeight="1">
      <c r="A85" s="762" t="s">
        <v>372</v>
      </c>
      <c r="B85" s="100"/>
      <c r="C85" s="100"/>
      <c r="D85" s="124"/>
      <c r="E85" s="108"/>
      <c r="F85" s="108"/>
      <c r="G85" s="108"/>
      <c r="H85" s="108"/>
      <c r="I85" s="252">
        <f>SUM(B85:H85)</f>
        <v>0</v>
      </c>
      <c r="J85" s="252">
        <f t="shared" si="20"/>
        <v>0</v>
      </c>
      <c r="K85" s="108">
        <v>0</v>
      </c>
      <c r="L85" s="108">
        <v>0</v>
      </c>
      <c r="M85" s="108">
        <v>50</v>
      </c>
      <c r="N85" s="108">
        <v>50</v>
      </c>
      <c r="O85" s="751">
        <v>50</v>
      </c>
      <c r="P85" s="691"/>
      <c r="Q85" s="691"/>
      <c r="R85" s="691"/>
      <c r="S85" s="691"/>
      <c r="T85" s="691"/>
      <c r="U85" s="691"/>
      <c r="V85" s="691"/>
      <c r="W85" s="691"/>
      <c r="X85" s="691"/>
      <c r="Y85" s="691"/>
    </row>
    <row r="86" spans="1:25" ht="21" customHeight="1">
      <c r="A86" s="764" t="s">
        <v>373</v>
      </c>
      <c r="B86" s="103"/>
      <c r="C86" s="103"/>
      <c r="D86" s="125"/>
      <c r="E86" s="111"/>
      <c r="F86" s="111"/>
      <c r="G86" s="111"/>
      <c r="H86" s="111"/>
      <c r="I86" s="107">
        <f>SUM(B86:H86)</f>
        <v>0</v>
      </c>
      <c r="J86" s="107">
        <f t="shared" si="20"/>
        <v>0</v>
      </c>
      <c r="K86" s="111">
        <v>0</v>
      </c>
      <c r="L86" s="111">
        <v>50</v>
      </c>
      <c r="M86" s="111">
        <v>50</v>
      </c>
      <c r="N86" s="111">
        <v>50</v>
      </c>
      <c r="O86" s="753">
        <v>50</v>
      </c>
      <c r="P86" s="692"/>
      <c r="Q86" s="692"/>
      <c r="R86" s="692"/>
      <c r="S86" s="692"/>
      <c r="T86" s="692"/>
      <c r="U86" s="692"/>
      <c r="V86" s="692"/>
      <c r="W86" s="692"/>
      <c r="X86" s="692"/>
      <c r="Y86" s="692"/>
    </row>
    <row r="87" spans="1:25" ht="21" customHeight="1">
      <c r="A87" s="681" t="s">
        <v>396</v>
      </c>
      <c r="B87" s="100"/>
      <c r="C87" s="100"/>
      <c r="D87" s="124"/>
      <c r="E87" s="108"/>
      <c r="F87" s="108"/>
      <c r="G87" s="108"/>
      <c r="H87" s="108"/>
      <c r="I87" s="252"/>
      <c r="J87" s="252"/>
      <c r="K87" s="108"/>
      <c r="L87" s="108"/>
      <c r="M87" s="108"/>
      <c r="N87" s="108"/>
      <c r="O87" s="108"/>
      <c r="P87" s="691"/>
      <c r="Q87" s="691"/>
      <c r="R87" s="691"/>
      <c r="S87" s="691"/>
      <c r="T87" s="691"/>
      <c r="U87" s="691"/>
      <c r="V87" s="691"/>
      <c r="W87" s="691"/>
      <c r="X87" s="691"/>
      <c r="Y87" s="691"/>
    </row>
    <row r="88" spans="1:25" ht="21" customHeight="1">
      <c r="A88" s="681"/>
      <c r="B88" s="100"/>
      <c r="C88" s="100"/>
      <c r="D88" s="124"/>
      <c r="E88" s="108"/>
      <c r="F88" s="108"/>
      <c r="G88" s="108"/>
      <c r="H88" s="108"/>
      <c r="I88" s="252"/>
      <c r="J88" s="252"/>
      <c r="K88" s="108"/>
      <c r="L88" s="108"/>
      <c r="M88" s="108"/>
      <c r="N88" s="108"/>
      <c r="O88" s="108"/>
      <c r="P88" s="691"/>
      <c r="Q88" s="691"/>
      <c r="R88" s="691"/>
      <c r="S88" s="691"/>
      <c r="T88" s="691"/>
      <c r="U88" s="691"/>
      <c r="V88" s="691"/>
      <c r="W88" s="691"/>
      <c r="X88" s="691"/>
      <c r="Y88" s="691"/>
    </row>
    <row r="89" spans="1:25" ht="21" customHeight="1">
      <c r="A89" s="762"/>
      <c r="B89" s="100"/>
      <c r="C89" s="100"/>
      <c r="D89" s="124"/>
      <c r="E89" s="108"/>
      <c r="F89" s="108"/>
      <c r="G89" s="108"/>
      <c r="H89" s="108"/>
      <c r="I89" s="252"/>
      <c r="J89" s="252"/>
      <c r="K89" s="108"/>
      <c r="L89" s="108"/>
      <c r="M89" s="108"/>
      <c r="N89" s="108"/>
      <c r="O89" s="108"/>
      <c r="P89" s="691"/>
      <c r="Q89" s="691"/>
      <c r="R89" s="691"/>
      <c r="S89" s="691"/>
      <c r="T89" s="691"/>
      <c r="U89" s="691"/>
      <c r="V89" s="691"/>
      <c r="W89" s="691"/>
      <c r="X89" s="691"/>
      <c r="Y89" s="691"/>
    </row>
    <row r="90" spans="1:25" ht="21" customHeight="1">
      <c r="A90" s="762"/>
      <c r="B90" s="100"/>
      <c r="C90" s="100"/>
      <c r="D90" s="124"/>
      <c r="E90" s="108"/>
      <c r="F90" s="108"/>
      <c r="G90" s="108"/>
      <c r="H90" s="108"/>
      <c r="I90" s="252"/>
      <c r="J90" s="252"/>
      <c r="K90" s="108"/>
      <c r="L90" s="108"/>
      <c r="M90" s="108"/>
      <c r="N90" s="108"/>
      <c r="O90" s="108"/>
      <c r="P90" s="691"/>
      <c r="Q90" s="691"/>
      <c r="R90" s="691"/>
      <c r="S90" s="691"/>
      <c r="T90" s="691"/>
      <c r="U90" s="691"/>
      <c r="V90" s="691"/>
      <c r="W90" s="691"/>
      <c r="X90" s="691"/>
      <c r="Y90" s="691"/>
    </row>
    <row r="91" spans="1:25" ht="21" customHeight="1">
      <c r="A91" s="763"/>
      <c r="B91" s="401"/>
      <c r="C91" s="401"/>
      <c r="D91" s="677"/>
      <c r="E91" s="670"/>
      <c r="F91" s="670"/>
      <c r="G91" s="670"/>
      <c r="H91" s="670"/>
      <c r="I91" s="668"/>
      <c r="J91" s="668"/>
      <c r="K91" s="670"/>
      <c r="L91" s="670"/>
      <c r="M91" s="670"/>
      <c r="N91" s="670"/>
      <c r="O91" s="670"/>
      <c r="P91" s="754"/>
      <c r="Q91" s="754"/>
      <c r="R91" s="754"/>
      <c r="S91" s="754"/>
      <c r="T91" s="754"/>
      <c r="U91" s="754"/>
      <c r="V91" s="754"/>
      <c r="W91" s="754"/>
      <c r="X91" s="754"/>
      <c r="Y91" s="754"/>
    </row>
    <row r="92" spans="1:25" ht="21" customHeight="1">
      <c r="A92" s="102" t="s">
        <v>217</v>
      </c>
      <c r="B92" s="110">
        <f t="shared" ref="B92:H92" si="21">SUM(B69:B86)</f>
        <v>272</v>
      </c>
      <c r="C92" s="110">
        <f t="shared" si="21"/>
        <v>188</v>
      </c>
      <c r="D92" s="110">
        <f t="shared" si="21"/>
        <v>185</v>
      </c>
      <c r="E92" s="110">
        <f t="shared" si="21"/>
        <v>183</v>
      </c>
      <c r="F92" s="110">
        <f t="shared" si="21"/>
        <v>46</v>
      </c>
      <c r="G92" s="110">
        <f t="shared" si="21"/>
        <v>0</v>
      </c>
      <c r="H92" s="110">
        <f t="shared" si="21"/>
        <v>0</v>
      </c>
      <c r="I92" s="110">
        <f t="shared" ref="I92:Y92" si="22">SUM(I69:I86)</f>
        <v>874</v>
      </c>
      <c r="J92" s="110">
        <f t="shared" si="22"/>
        <v>272</v>
      </c>
      <c r="K92" s="110">
        <f t="shared" si="22"/>
        <v>350</v>
      </c>
      <c r="L92" s="110">
        <f t="shared" si="22"/>
        <v>550</v>
      </c>
      <c r="M92" s="110">
        <f t="shared" si="22"/>
        <v>400</v>
      </c>
      <c r="N92" s="110">
        <f t="shared" si="22"/>
        <v>400</v>
      </c>
      <c r="O92" s="110">
        <f t="shared" si="22"/>
        <v>400</v>
      </c>
      <c r="P92" s="110">
        <f t="shared" si="22"/>
        <v>0</v>
      </c>
      <c r="Q92" s="110">
        <f t="shared" si="22"/>
        <v>0</v>
      </c>
      <c r="R92" s="110">
        <f t="shared" si="22"/>
        <v>0</v>
      </c>
      <c r="S92" s="110">
        <f t="shared" si="22"/>
        <v>0</v>
      </c>
      <c r="T92" s="110">
        <f t="shared" si="22"/>
        <v>0</v>
      </c>
      <c r="U92" s="110">
        <f t="shared" si="22"/>
        <v>0</v>
      </c>
      <c r="V92" s="110">
        <f t="shared" si="22"/>
        <v>0</v>
      </c>
      <c r="W92" s="110">
        <f t="shared" si="22"/>
        <v>0</v>
      </c>
      <c r="X92" s="110">
        <f t="shared" si="22"/>
        <v>0</v>
      </c>
      <c r="Y92" s="110">
        <f t="shared" si="22"/>
        <v>0</v>
      </c>
    </row>
    <row r="93" spans="1:25" ht="21" hidden="1" customHeight="1">
      <c r="A93" s="259" t="s">
        <v>249</v>
      </c>
      <c r="B93" s="259"/>
      <c r="C93" s="259"/>
      <c r="D93" s="260"/>
      <c r="E93" s="114"/>
      <c r="F93" s="114"/>
      <c r="G93" s="114"/>
      <c r="H93" s="114"/>
      <c r="I93" s="254">
        <f>SUM(B93:H93)</f>
        <v>0</v>
      </c>
      <c r="J93" s="161"/>
      <c r="K93" s="161"/>
      <c r="L93" s="161"/>
      <c r="M93" s="161"/>
      <c r="N93" s="161"/>
      <c r="O93" s="161"/>
      <c r="P93" s="693"/>
      <c r="Q93" s="693"/>
      <c r="R93" s="693"/>
      <c r="S93" s="693"/>
      <c r="T93" s="693"/>
      <c r="U93" s="693"/>
      <c r="V93" s="693"/>
      <c r="W93" s="693"/>
      <c r="X93" s="693"/>
      <c r="Y93" s="693"/>
    </row>
    <row r="94" spans="1:25" ht="21" hidden="1" customHeight="1">
      <c r="A94" s="398" t="s">
        <v>297</v>
      </c>
      <c r="B94" s="398"/>
      <c r="C94" s="398">
        <v>8</v>
      </c>
      <c r="D94" s="675">
        <v>9</v>
      </c>
      <c r="E94" s="664"/>
      <c r="F94" s="664"/>
      <c r="G94" s="664"/>
      <c r="H94" s="664"/>
      <c r="I94" s="662">
        <f t="shared" ref="I94:I96" si="23">SUM(B94:H94)</f>
        <v>17</v>
      </c>
      <c r="J94" s="662"/>
      <c r="K94" s="664"/>
      <c r="L94" s="664"/>
      <c r="M94" s="664"/>
      <c r="N94" s="664"/>
      <c r="O94" s="750"/>
      <c r="P94" s="691"/>
      <c r="Q94" s="691"/>
      <c r="R94" s="691"/>
      <c r="S94" s="691"/>
      <c r="T94" s="691"/>
      <c r="U94" s="691"/>
      <c r="V94" s="691"/>
      <c r="W94" s="691"/>
      <c r="X94" s="691"/>
      <c r="Y94" s="691"/>
    </row>
    <row r="95" spans="1:25" ht="21" hidden="1" customHeight="1">
      <c r="A95" s="100" t="s">
        <v>296</v>
      </c>
      <c r="B95" s="100"/>
      <c r="C95" s="100">
        <v>27</v>
      </c>
      <c r="D95" s="124">
        <v>5</v>
      </c>
      <c r="E95" s="108">
        <v>1</v>
      </c>
      <c r="F95" s="108"/>
      <c r="G95" s="108"/>
      <c r="H95" s="108"/>
      <c r="I95" s="252">
        <f t="shared" si="23"/>
        <v>33</v>
      </c>
      <c r="J95" s="252"/>
      <c r="K95" s="108"/>
      <c r="L95" s="108"/>
      <c r="M95" s="108"/>
      <c r="N95" s="108"/>
      <c r="O95" s="751"/>
      <c r="P95" s="691"/>
      <c r="Q95" s="691"/>
      <c r="R95" s="691"/>
      <c r="S95" s="691"/>
      <c r="T95" s="691"/>
      <c r="U95" s="691"/>
      <c r="V95" s="691"/>
      <c r="W95" s="691"/>
      <c r="X95" s="691"/>
      <c r="Y95" s="691"/>
    </row>
    <row r="96" spans="1:25" ht="21" customHeight="1">
      <c r="A96" s="100" t="s">
        <v>246</v>
      </c>
      <c r="B96" s="100"/>
      <c r="C96" s="100">
        <v>12</v>
      </c>
      <c r="D96" s="124">
        <v>2</v>
      </c>
      <c r="E96" s="108"/>
      <c r="F96" s="108"/>
      <c r="G96" s="108"/>
      <c r="H96" s="108"/>
      <c r="I96" s="252">
        <f t="shared" si="23"/>
        <v>14</v>
      </c>
      <c r="J96" s="252"/>
      <c r="K96" s="108">
        <v>0</v>
      </c>
      <c r="L96" s="108">
        <v>50</v>
      </c>
      <c r="M96" s="108">
        <v>50</v>
      </c>
      <c r="N96" s="108">
        <v>50</v>
      </c>
      <c r="O96" s="751">
        <v>50</v>
      </c>
      <c r="P96" s="691"/>
      <c r="Q96" s="691"/>
      <c r="R96" s="691"/>
      <c r="S96" s="691"/>
      <c r="T96" s="691"/>
      <c r="U96" s="691"/>
      <c r="V96" s="691"/>
      <c r="W96" s="691"/>
      <c r="X96" s="691"/>
      <c r="Y96" s="691"/>
    </row>
    <row r="97" spans="1:25" ht="21" customHeight="1">
      <c r="A97" s="100" t="s">
        <v>250</v>
      </c>
      <c r="B97" s="100"/>
      <c r="C97" s="100"/>
      <c r="D97" s="124">
        <v>1</v>
      </c>
      <c r="E97" s="108"/>
      <c r="F97" s="108"/>
      <c r="G97" s="108"/>
      <c r="H97" s="108"/>
      <c r="I97" s="252">
        <f>SUM(B97:H97)</f>
        <v>1</v>
      </c>
      <c r="J97" s="252"/>
      <c r="K97" s="108">
        <v>0</v>
      </c>
      <c r="L97" s="108">
        <v>50</v>
      </c>
      <c r="M97" s="108">
        <v>50</v>
      </c>
      <c r="N97" s="108">
        <v>50</v>
      </c>
      <c r="O97" s="751">
        <v>50</v>
      </c>
      <c r="P97" s="691"/>
      <c r="Q97" s="691"/>
      <c r="R97" s="691"/>
      <c r="S97" s="691"/>
      <c r="T97" s="691"/>
      <c r="U97" s="691"/>
      <c r="V97" s="691"/>
      <c r="W97" s="691"/>
      <c r="X97" s="691"/>
      <c r="Y97" s="691"/>
    </row>
    <row r="98" spans="1:25" ht="21" customHeight="1">
      <c r="A98" s="100" t="s">
        <v>374</v>
      </c>
      <c r="B98" s="100"/>
      <c r="C98" s="100"/>
      <c r="D98" s="124"/>
      <c r="E98" s="108"/>
      <c r="F98" s="108"/>
      <c r="G98" s="108"/>
      <c r="H98" s="108"/>
      <c r="I98" s="252"/>
      <c r="J98" s="252"/>
      <c r="K98" s="108">
        <v>40</v>
      </c>
      <c r="L98" s="108">
        <v>0</v>
      </c>
      <c r="M98" s="108">
        <v>0</v>
      </c>
      <c r="N98" s="108">
        <v>0</v>
      </c>
      <c r="O98" s="751">
        <v>0</v>
      </c>
      <c r="P98" s="691"/>
      <c r="Q98" s="691"/>
      <c r="R98" s="691"/>
      <c r="S98" s="691"/>
      <c r="T98" s="691"/>
      <c r="U98" s="691"/>
      <c r="V98" s="691"/>
      <c r="W98" s="691"/>
      <c r="X98" s="691"/>
      <c r="Y98" s="691"/>
    </row>
    <row r="99" spans="1:25" ht="21" customHeight="1">
      <c r="A99" s="100" t="s">
        <v>375</v>
      </c>
      <c r="B99" s="100"/>
      <c r="C99" s="100"/>
      <c r="D99" s="124"/>
      <c r="E99" s="108"/>
      <c r="F99" s="108"/>
      <c r="G99" s="108"/>
      <c r="H99" s="108"/>
      <c r="I99" s="252"/>
      <c r="J99" s="252"/>
      <c r="K99" s="108">
        <v>40</v>
      </c>
      <c r="L99" s="108">
        <v>0</v>
      </c>
      <c r="M99" s="108">
        <v>0</v>
      </c>
      <c r="N99" s="108">
        <v>0</v>
      </c>
      <c r="O99" s="751">
        <v>0</v>
      </c>
      <c r="P99" s="691"/>
      <c r="Q99" s="691"/>
      <c r="R99" s="691"/>
      <c r="S99" s="691"/>
      <c r="T99" s="691"/>
      <c r="U99" s="691"/>
      <c r="V99" s="691"/>
      <c r="W99" s="691"/>
      <c r="X99" s="691"/>
      <c r="Y99" s="691"/>
    </row>
    <row r="100" spans="1:25" ht="21" customHeight="1">
      <c r="A100" s="100" t="s">
        <v>376</v>
      </c>
      <c r="B100" s="100"/>
      <c r="C100" s="100"/>
      <c r="D100" s="124"/>
      <c r="E100" s="108"/>
      <c r="F100" s="108"/>
      <c r="G100" s="108"/>
      <c r="H100" s="108"/>
      <c r="I100" s="252"/>
      <c r="J100" s="252"/>
      <c r="K100" s="108">
        <v>50</v>
      </c>
      <c r="L100" s="108">
        <v>80</v>
      </c>
      <c r="M100" s="108">
        <v>50</v>
      </c>
      <c r="N100" s="108">
        <v>50</v>
      </c>
      <c r="O100" s="751">
        <v>50</v>
      </c>
      <c r="P100" s="691"/>
      <c r="Q100" s="691"/>
      <c r="R100" s="691"/>
      <c r="S100" s="691"/>
      <c r="T100" s="691"/>
      <c r="U100" s="691"/>
      <c r="V100" s="691"/>
      <c r="W100" s="691"/>
      <c r="X100" s="691"/>
      <c r="Y100" s="691"/>
    </row>
    <row r="101" spans="1:25" ht="21" customHeight="1">
      <c r="A101" s="100" t="s">
        <v>377</v>
      </c>
      <c r="B101" s="100"/>
      <c r="C101" s="100"/>
      <c r="D101" s="124"/>
      <c r="E101" s="108"/>
      <c r="F101" s="108"/>
      <c r="G101" s="108"/>
      <c r="H101" s="108"/>
      <c r="I101" s="252"/>
      <c r="J101" s="252"/>
      <c r="K101" s="108">
        <v>50</v>
      </c>
      <c r="L101" s="108">
        <v>80</v>
      </c>
      <c r="M101" s="108">
        <v>50</v>
      </c>
      <c r="N101" s="108">
        <v>50</v>
      </c>
      <c r="O101" s="751">
        <v>50</v>
      </c>
      <c r="P101" s="691"/>
      <c r="Q101" s="691"/>
      <c r="R101" s="691"/>
      <c r="S101" s="691"/>
      <c r="T101" s="691"/>
      <c r="U101" s="691"/>
      <c r="V101" s="691"/>
      <c r="W101" s="691"/>
      <c r="X101" s="691"/>
      <c r="Y101" s="691"/>
    </row>
    <row r="102" spans="1:25" ht="21" customHeight="1">
      <c r="A102" s="100" t="s">
        <v>378</v>
      </c>
      <c r="B102" s="100"/>
      <c r="C102" s="100"/>
      <c r="D102" s="124"/>
      <c r="E102" s="108"/>
      <c r="F102" s="108"/>
      <c r="G102" s="108"/>
      <c r="H102" s="108"/>
      <c r="I102" s="252"/>
      <c r="J102" s="252"/>
      <c r="K102" s="108">
        <v>50</v>
      </c>
      <c r="L102" s="108">
        <v>50</v>
      </c>
      <c r="M102" s="108">
        <v>0</v>
      </c>
      <c r="N102" s="108">
        <v>0</v>
      </c>
      <c r="O102" s="751">
        <v>0</v>
      </c>
      <c r="P102" s="691"/>
      <c r="Q102" s="691"/>
      <c r="R102" s="691"/>
      <c r="S102" s="691"/>
      <c r="T102" s="691"/>
      <c r="U102" s="691"/>
      <c r="V102" s="691"/>
      <c r="W102" s="691"/>
      <c r="X102" s="691"/>
      <c r="Y102" s="691"/>
    </row>
    <row r="103" spans="1:25" ht="21" customHeight="1">
      <c r="A103" s="103" t="s">
        <v>379</v>
      </c>
      <c r="B103" s="103"/>
      <c r="C103" s="103"/>
      <c r="D103" s="125"/>
      <c r="E103" s="111"/>
      <c r="F103" s="111"/>
      <c r="G103" s="111"/>
      <c r="H103" s="111"/>
      <c r="I103" s="107"/>
      <c r="J103" s="107"/>
      <c r="K103" s="111">
        <v>0</v>
      </c>
      <c r="L103" s="111">
        <v>0</v>
      </c>
      <c r="M103" s="111">
        <v>30</v>
      </c>
      <c r="N103" s="111">
        <v>30</v>
      </c>
      <c r="O103" s="753">
        <v>30</v>
      </c>
      <c r="P103" s="692"/>
      <c r="Q103" s="692"/>
      <c r="R103" s="692"/>
      <c r="S103" s="692"/>
      <c r="T103" s="692"/>
      <c r="U103" s="692"/>
      <c r="V103" s="692"/>
      <c r="W103" s="692"/>
      <c r="X103" s="692"/>
      <c r="Y103" s="692"/>
    </row>
    <row r="104" spans="1:25" ht="21" customHeight="1">
      <c r="A104" s="103"/>
      <c r="B104" s="103"/>
      <c r="C104" s="103"/>
      <c r="D104" s="125"/>
      <c r="E104" s="111"/>
      <c r="F104" s="111"/>
      <c r="G104" s="111"/>
      <c r="H104" s="111"/>
      <c r="I104" s="107"/>
      <c r="J104" s="107"/>
      <c r="K104" s="111"/>
      <c r="L104" s="111"/>
      <c r="M104" s="111"/>
      <c r="N104" s="111"/>
      <c r="O104" s="753"/>
      <c r="P104" s="692"/>
      <c r="Q104" s="692"/>
      <c r="R104" s="692"/>
      <c r="S104" s="692"/>
      <c r="T104" s="692"/>
      <c r="U104" s="692"/>
      <c r="V104" s="692"/>
      <c r="W104" s="692"/>
      <c r="X104" s="692"/>
      <c r="Y104" s="692"/>
    </row>
    <row r="105" spans="1:25" ht="21" customHeight="1">
      <c r="A105" s="100"/>
      <c r="B105" s="100"/>
      <c r="C105" s="100"/>
      <c r="D105" s="124"/>
      <c r="E105" s="108"/>
      <c r="F105" s="108"/>
      <c r="G105" s="108"/>
      <c r="H105" s="108"/>
      <c r="I105" s="252"/>
      <c r="J105" s="252"/>
      <c r="K105" s="108"/>
      <c r="L105" s="108"/>
      <c r="M105" s="108"/>
      <c r="N105" s="108"/>
      <c r="O105" s="108"/>
      <c r="P105" s="691"/>
      <c r="Q105" s="691"/>
      <c r="R105" s="691"/>
      <c r="S105" s="691"/>
      <c r="T105" s="691"/>
      <c r="U105" s="691"/>
      <c r="V105" s="691"/>
      <c r="W105" s="691"/>
      <c r="X105" s="691"/>
      <c r="Y105" s="691"/>
    </row>
    <row r="106" spans="1:25" ht="21" customHeight="1">
      <c r="A106" s="401"/>
      <c r="B106" s="401"/>
      <c r="C106" s="401"/>
      <c r="D106" s="677"/>
      <c r="E106" s="670"/>
      <c r="F106" s="670"/>
      <c r="G106" s="670"/>
      <c r="H106" s="670"/>
      <c r="I106" s="668"/>
      <c r="J106" s="668"/>
      <c r="K106" s="670"/>
      <c r="L106" s="670"/>
      <c r="M106" s="670"/>
      <c r="N106" s="670"/>
      <c r="O106" s="670"/>
      <c r="P106" s="754"/>
      <c r="Q106" s="754"/>
      <c r="R106" s="754"/>
      <c r="S106" s="754"/>
      <c r="T106" s="754"/>
      <c r="U106" s="754"/>
      <c r="V106" s="754"/>
      <c r="W106" s="754"/>
      <c r="X106" s="754"/>
      <c r="Y106" s="754"/>
    </row>
    <row r="107" spans="1:25" ht="21" customHeight="1">
      <c r="A107" s="414" t="s">
        <v>219</v>
      </c>
      <c r="B107" s="719">
        <f t="shared" ref="B107:H107" si="24">SUM(B93:B97)</f>
        <v>0</v>
      </c>
      <c r="C107" s="719">
        <f t="shared" si="24"/>
        <v>47</v>
      </c>
      <c r="D107" s="719">
        <f t="shared" si="24"/>
        <v>17</v>
      </c>
      <c r="E107" s="719">
        <f t="shared" si="24"/>
        <v>1</v>
      </c>
      <c r="F107" s="719">
        <f t="shared" si="24"/>
        <v>0</v>
      </c>
      <c r="G107" s="719">
        <f t="shared" si="24"/>
        <v>0</v>
      </c>
      <c r="H107" s="719">
        <f t="shared" si="24"/>
        <v>0</v>
      </c>
      <c r="I107" s="719">
        <f t="shared" ref="I107:O107" si="25">SUM(I93:I106)</f>
        <v>65</v>
      </c>
      <c r="J107" s="719">
        <f t="shared" si="25"/>
        <v>0</v>
      </c>
      <c r="K107" s="719">
        <f t="shared" si="25"/>
        <v>230</v>
      </c>
      <c r="L107" s="719">
        <f t="shared" si="25"/>
        <v>310</v>
      </c>
      <c r="M107" s="719">
        <f t="shared" si="25"/>
        <v>230</v>
      </c>
      <c r="N107" s="719">
        <f t="shared" si="25"/>
        <v>230</v>
      </c>
      <c r="O107" s="719">
        <f t="shared" si="25"/>
        <v>230</v>
      </c>
      <c r="P107" s="719">
        <f t="shared" ref="P107:Y107" si="26">SUM(P93:P106)</f>
        <v>0</v>
      </c>
      <c r="Q107" s="719">
        <f t="shared" si="26"/>
        <v>0</v>
      </c>
      <c r="R107" s="719">
        <f t="shared" si="26"/>
        <v>0</v>
      </c>
      <c r="S107" s="719">
        <f t="shared" si="26"/>
        <v>0</v>
      </c>
      <c r="T107" s="719">
        <f t="shared" si="26"/>
        <v>0</v>
      </c>
      <c r="U107" s="719">
        <f t="shared" si="26"/>
        <v>0</v>
      </c>
      <c r="V107" s="719">
        <f t="shared" si="26"/>
        <v>0</v>
      </c>
      <c r="W107" s="719">
        <f t="shared" si="26"/>
        <v>0</v>
      </c>
      <c r="X107" s="719">
        <f t="shared" si="26"/>
        <v>0</v>
      </c>
      <c r="Y107" s="719">
        <f t="shared" si="26"/>
        <v>0</v>
      </c>
    </row>
    <row r="108" spans="1:25" ht="21" customHeight="1">
      <c r="A108" s="101" t="s">
        <v>16</v>
      </c>
      <c r="B108" s="110">
        <f>SUM(B109:B129)</f>
        <v>292</v>
      </c>
      <c r="C108" s="110">
        <f>SUM(C109:C129)</f>
        <v>113</v>
      </c>
      <c r="D108" s="110">
        <f t="shared" ref="D108:H108" si="27">SUM(D109:D129)</f>
        <v>243</v>
      </c>
      <c r="E108" s="110">
        <f t="shared" si="27"/>
        <v>166</v>
      </c>
      <c r="F108" s="110">
        <f t="shared" si="27"/>
        <v>31</v>
      </c>
      <c r="G108" s="110">
        <f t="shared" si="27"/>
        <v>0</v>
      </c>
      <c r="H108" s="110">
        <f t="shared" si="27"/>
        <v>0</v>
      </c>
      <c r="I108" s="110">
        <f>SUM(I109:I129)</f>
        <v>845</v>
      </c>
      <c r="J108" s="110">
        <f>SUM(J109:J129)</f>
        <v>292</v>
      </c>
      <c r="K108" s="110">
        <f t="shared" ref="K108:Y108" si="28">SUM(K109:K129)</f>
        <v>230</v>
      </c>
      <c r="L108" s="110">
        <f t="shared" si="28"/>
        <v>230</v>
      </c>
      <c r="M108" s="110">
        <f t="shared" si="28"/>
        <v>230</v>
      </c>
      <c r="N108" s="110">
        <f t="shared" si="28"/>
        <v>230</v>
      </c>
      <c r="O108" s="110">
        <f t="shared" si="28"/>
        <v>230</v>
      </c>
      <c r="P108" s="110">
        <f t="shared" si="28"/>
        <v>0</v>
      </c>
      <c r="Q108" s="110">
        <f t="shared" si="28"/>
        <v>0</v>
      </c>
      <c r="R108" s="110">
        <f t="shared" si="28"/>
        <v>0</v>
      </c>
      <c r="S108" s="110">
        <f t="shared" si="28"/>
        <v>0</v>
      </c>
      <c r="T108" s="110">
        <f t="shared" si="28"/>
        <v>0</v>
      </c>
      <c r="U108" s="110">
        <f t="shared" si="28"/>
        <v>0</v>
      </c>
      <c r="V108" s="110">
        <f t="shared" si="28"/>
        <v>0</v>
      </c>
      <c r="W108" s="110">
        <f t="shared" si="28"/>
        <v>0</v>
      </c>
      <c r="X108" s="110">
        <f t="shared" si="28"/>
        <v>0</v>
      </c>
      <c r="Y108" s="110">
        <f t="shared" si="28"/>
        <v>0</v>
      </c>
    </row>
    <row r="109" spans="1:25" ht="21" hidden="1" customHeight="1">
      <c r="A109" s="99" t="s">
        <v>17</v>
      </c>
      <c r="B109" s="99"/>
      <c r="C109" s="99"/>
      <c r="D109" s="123">
        <v>109</v>
      </c>
      <c r="E109" s="109">
        <v>84</v>
      </c>
      <c r="F109" s="109">
        <v>13</v>
      </c>
      <c r="G109" s="109"/>
      <c r="H109" s="109"/>
      <c r="I109" s="716">
        <f>SUM(B109:H109)</f>
        <v>206</v>
      </c>
      <c r="J109" s="716">
        <f>B109</f>
        <v>0</v>
      </c>
      <c r="K109" s="109">
        <v>0</v>
      </c>
      <c r="L109" s="109">
        <v>0</v>
      </c>
      <c r="M109" s="109">
        <v>0</v>
      </c>
      <c r="N109" s="109">
        <v>0</v>
      </c>
      <c r="O109" s="752">
        <v>0</v>
      </c>
      <c r="P109" s="693"/>
      <c r="Q109" s="693"/>
      <c r="R109" s="693"/>
      <c r="S109" s="693"/>
      <c r="T109" s="693"/>
      <c r="U109" s="693"/>
      <c r="V109" s="693"/>
      <c r="W109" s="693"/>
      <c r="X109" s="693"/>
      <c r="Y109" s="693"/>
    </row>
    <row r="110" spans="1:25" ht="21" hidden="1" customHeight="1">
      <c r="A110" s="100" t="s">
        <v>101</v>
      </c>
      <c r="B110" s="100"/>
      <c r="C110" s="100"/>
      <c r="D110" s="124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751"/>
      <c r="P110" s="691"/>
      <c r="Q110" s="691"/>
      <c r="R110" s="691"/>
      <c r="S110" s="691"/>
      <c r="T110" s="691"/>
      <c r="U110" s="691"/>
      <c r="V110" s="691"/>
      <c r="W110" s="691"/>
      <c r="X110" s="691"/>
      <c r="Y110" s="691"/>
    </row>
    <row r="111" spans="1:25" ht="21" hidden="1" customHeight="1">
      <c r="A111" s="100" t="s">
        <v>102</v>
      </c>
      <c r="B111" s="100"/>
      <c r="C111" s="100"/>
      <c r="D111" s="124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751"/>
      <c r="P111" s="691"/>
      <c r="Q111" s="691"/>
      <c r="R111" s="691"/>
      <c r="S111" s="691"/>
      <c r="T111" s="691"/>
      <c r="U111" s="691"/>
      <c r="V111" s="691"/>
      <c r="W111" s="691"/>
      <c r="X111" s="691"/>
      <c r="Y111" s="691"/>
    </row>
    <row r="112" spans="1:25" ht="21" hidden="1" customHeight="1">
      <c r="A112" s="100" t="s">
        <v>103</v>
      </c>
      <c r="B112" s="100"/>
      <c r="C112" s="100"/>
      <c r="D112" s="124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751"/>
      <c r="P112" s="691"/>
      <c r="Q112" s="691"/>
      <c r="R112" s="691"/>
      <c r="S112" s="691"/>
      <c r="T112" s="691"/>
      <c r="U112" s="691"/>
      <c r="V112" s="691"/>
      <c r="W112" s="691"/>
      <c r="X112" s="691"/>
      <c r="Y112" s="691"/>
    </row>
    <row r="113" spans="1:25" ht="21" hidden="1" customHeight="1">
      <c r="A113" s="100" t="s">
        <v>104</v>
      </c>
      <c r="B113" s="100"/>
      <c r="C113" s="100"/>
      <c r="D113" s="124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751"/>
      <c r="P113" s="691"/>
      <c r="Q113" s="691"/>
      <c r="R113" s="691"/>
      <c r="S113" s="691"/>
      <c r="T113" s="691"/>
      <c r="U113" s="691"/>
      <c r="V113" s="691"/>
      <c r="W113" s="691"/>
      <c r="X113" s="691"/>
      <c r="Y113" s="691"/>
    </row>
    <row r="114" spans="1:25" ht="21" hidden="1" customHeight="1">
      <c r="A114" s="100" t="s">
        <v>105</v>
      </c>
      <c r="B114" s="100"/>
      <c r="C114" s="100"/>
      <c r="D114" s="124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751"/>
      <c r="P114" s="691"/>
      <c r="Q114" s="691"/>
      <c r="R114" s="691"/>
      <c r="S114" s="691"/>
      <c r="T114" s="691"/>
      <c r="U114" s="691"/>
      <c r="V114" s="691"/>
      <c r="W114" s="691"/>
      <c r="X114" s="691"/>
      <c r="Y114" s="691"/>
    </row>
    <row r="115" spans="1:25" ht="21" hidden="1" customHeight="1">
      <c r="A115" s="100" t="s">
        <v>119</v>
      </c>
      <c r="B115" s="100"/>
      <c r="C115" s="100"/>
      <c r="D115" s="124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751"/>
      <c r="P115" s="691"/>
      <c r="Q115" s="691"/>
      <c r="R115" s="691"/>
      <c r="S115" s="691"/>
      <c r="T115" s="691"/>
      <c r="U115" s="691"/>
      <c r="V115" s="691"/>
      <c r="W115" s="691"/>
      <c r="X115" s="691"/>
      <c r="Y115" s="691"/>
    </row>
    <row r="116" spans="1:25" ht="21" hidden="1" customHeight="1">
      <c r="A116" s="100" t="s">
        <v>89</v>
      </c>
      <c r="B116" s="100"/>
      <c r="C116" s="100"/>
      <c r="D116" s="124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751"/>
      <c r="P116" s="691"/>
      <c r="Q116" s="691"/>
      <c r="R116" s="691"/>
      <c r="S116" s="691"/>
      <c r="T116" s="691"/>
      <c r="U116" s="691"/>
      <c r="V116" s="691"/>
      <c r="W116" s="691"/>
      <c r="X116" s="691"/>
      <c r="Y116" s="691"/>
    </row>
    <row r="117" spans="1:25" ht="21" hidden="1" customHeight="1">
      <c r="A117" s="308" t="s">
        <v>271</v>
      </c>
      <c r="B117" s="308"/>
      <c r="C117" s="100"/>
      <c r="D117" s="124"/>
      <c r="E117" s="108"/>
      <c r="F117" s="108"/>
      <c r="G117" s="108"/>
      <c r="H117" s="108"/>
      <c r="I117" s="108">
        <f t="shared" ref="I117:I126" si="29">SUM(C117:H117)</f>
        <v>0</v>
      </c>
      <c r="J117" s="108"/>
      <c r="K117" s="108"/>
      <c r="L117" s="108"/>
      <c r="M117" s="108"/>
      <c r="N117" s="108"/>
      <c r="O117" s="751"/>
      <c r="P117" s="691"/>
      <c r="Q117" s="691"/>
      <c r="R117" s="691"/>
      <c r="S117" s="691"/>
      <c r="T117" s="691"/>
      <c r="U117" s="691"/>
      <c r="V117" s="691"/>
      <c r="W117" s="691"/>
      <c r="X117" s="691"/>
      <c r="Y117" s="691"/>
    </row>
    <row r="118" spans="1:25" ht="21" hidden="1" customHeight="1">
      <c r="A118" s="308" t="s">
        <v>272</v>
      </c>
      <c r="B118" s="308"/>
      <c r="C118" s="100"/>
      <c r="D118" s="124"/>
      <c r="E118" s="108"/>
      <c r="F118" s="108"/>
      <c r="G118" s="108"/>
      <c r="H118" s="108"/>
      <c r="I118" s="108">
        <f t="shared" si="29"/>
        <v>0</v>
      </c>
      <c r="J118" s="108"/>
      <c r="K118" s="108"/>
      <c r="L118" s="108"/>
      <c r="M118" s="108"/>
      <c r="N118" s="108"/>
      <c r="O118" s="751"/>
      <c r="P118" s="691"/>
      <c r="Q118" s="691"/>
      <c r="R118" s="691"/>
      <c r="S118" s="691"/>
      <c r="T118" s="691"/>
      <c r="U118" s="691"/>
      <c r="V118" s="691"/>
      <c r="W118" s="691"/>
      <c r="X118" s="691"/>
      <c r="Y118" s="691"/>
    </row>
    <row r="119" spans="1:25" ht="21" hidden="1" customHeight="1">
      <c r="A119" s="308" t="s">
        <v>273</v>
      </c>
      <c r="B119" s="308"/>
      <c r="C119" s="100"/>
      <c r="D119" s="124"/>
      <c r="E119" s="108"/>
      <c r="F119" s="108"/>
      <c r="G119" s="108"/>
      <c r="H119" s="108"/>
      <c r="I119" s="108">
        <f t="shared" si="29"/>
        <v>0</v>
      </c>
      <c r="J119" s="108"/>
      <c r="K119" s="108"/>
      <c r="L119" s="108"/>
      <c r="M119" s="108"/>
      <c r="N119" s="108"/>
      <c r="O119" s="751"/>
      <c r="P119" s="691"/>
      <c r="Q119" s="691"/>
      <c r="R119" s="691"/>
      <c r="S119" s="691"/>
      <c r="T119" s="691"/>
      <c r="U119" s="691"/>
      <c r="V119" s="691"/>
      <c r="W119" s="691"/>
      <c r="X119" s="691"/>
      <c r="Y119" s="691"/>
    </row>
    <row r="120" spans="1:25" ht="21" hidden="1" customHeight="1">
      <c r="A120" s="308" t="s">
        <v>274</v>
      </c>
      <c r="B120" s="308"/>
      <c r="C120" s="100"/>
      <c r="D120" s="124"/>
      <c r="E120" s="108"/>
      <c r="F120" s="108"/>
      <c r="G120" s="108"/>
      <c r="H120" s="108"/>
      <c r="I120" s="108">
        <f t="shared" si="29"/>
        <v>0</v>
      </c>
      <c r="J120" s="108"/>
      <c r="K120" s="108"/>
      <c r="L120" s="108"/>
      <c r="M120" s="108"/>
      <c r="N120" s="108"/>
      <c r="O120" s="751"/>
      <c r="P120" s="691"/>
      <c r="Q120" s="691"/>
      <c r="R120" s="691"/>
      <c r="S120" s="691"/>
      <c r="T120" s="691"/>
      <c r="U120" s="691"/>
      <c r="V120" s="691"/>
      <c r="W120" s="691"/>
      <c r="X120" s="691"/>
      <c r="Y120" s="691"/>
    </row>
    <row r="121" spans="1:25" ht="21" customHeight="1">
      <c r="A121" s="100" t="s">
        <v>345</v>
      </c>
      <c r="B121" s="100">
        <v>40</v>
      </c>
      <c r="C121" s="100"/>
      <c r="D121" s="124"/>
      <c r="E121" s="108"/>
      <c r="F121" s="108"/>
      <c r="G121" s="108"/>
      <c r="H121" s="108"/>
      <c r="I121" s="252">
        <f>SUM(B121:H121)</f>
        <v>40</v>
      </c>
      <c r="J121" s="252">
        <f>B121</f>
        <v>40</v>
      </c>
      <c r="K121" s="108">
        <v>40</v>
      </c>
      <c r="L121" s="108">
        <v>40</v>
      </c>
      <c r="M121" s="108">
        <v>40</v>
      </c>
      <c r="N121" s="108">
        <v>40</v>
      </c>
      <c r="O121" s="751">
        <v>40</v>
      </c>
      <c r="P121" s="691"/>
      <c r="Q121" s="691"/>
      <c r="R121" s="691"/>
      <c r="S121" s="691"/>
      <c r="T121" s="691"/>
      <c r="U121" s="691"/>
      <c r="V121" s="691"/>
      <c r="W121" s="691"/>
      <c r="X121" s="691"/>
      <c r="Y121" s="691"/>
    </row>
    <row r="122" spans="1:25" ht="21" customHeight="1">
      <c r="A122" s="100" t="s">
        <v>307</v>
      </c>
      <c r="B122" s="100">
        <v>44</v>
      </c>
      <c r="C122" s="643"/>
      <c r="D122" s="124"/>
      <c r="E122" s="108"/>
      <c r="F122" s="108"/>
      <c r="G122" s="108"/>
      <c r="H122" s="108"/>
      <c r="I122" s="252">
        <f t="shared" ref="I122:I125" si="30">SUM(B122:H122)</f>
        <v>44</v>
      </c>
      <c r="J122" s="252">
        <f>B122</f>
        <v>44</v>
      </c>
      <c r="K122" s="108">
        <v>30</v>
      </c>
      <c r="L122" s="108">
        <v>30</v>
      </c>
      <c r="M122" s="108">
        <v>30</v>
      </c>
      <c r="N122" s="108">
        <v>30</v>
      </c>
      <c r="O122" s="751">
        <v>30</v>
      </c>
      <c r="P122" s="691"/>
      <c r="Q122" s="691"/>
      <c r="R122" s="691"/>
      <c r="S122" s="691"/>
      <c r="T122" s="691"/>
      <c r="U122" s="691"/>
      <c r="V122" s="691"/>
      <c r="W122" s="691"/>
      <c r="X122" s="691"/>
      <c r="Y122" s="691"/>
    </row>
    <row r="123" spans="1:25" ht="21" customHeight="1">
      <c r="A123" s="100" t="s">
        <v>308</v>
      </c>
      <c r="B123" s="100">
        <v>98</v>
      </c>
      <c r="C123" s="100"/>
      <c r="D123" s="124"/>
      <c r="E123" s="108"/>
      <c r="F123" s="108"/>
      <c r="G123" s="108"/>
      <c r="H123" s="108"/>
      <c r="I123" s="252">
        <f>SUM(B123:H123)</f>
        <v>98</v>
      </c>
      <c r="J123" s="252">
        <f>B123</f>
        <v>98</v>
      </c>
      <c r="K123" s="108">
        <v>40</v>
      </c>
      <c r="L123" s="108">
        <v>40</v>
      </c>
      <c r="M123" s="108">
        <v>40</v>
      </c>
      <c r="N123" s="108">
        <v>40</v>
      </c>
      <c r="O123" s="751">
        <v>40</v>
      </c>
      <c r="P123" s="691"/>
      <c r="Q123" s="691"/>
      <c r="R123" s="691"/>
      <c r="S123" s="691"/>
      <c r="T123" s="691"/>
      <c r="U123" s="691"/>
      <c r="V123" s="691"/>
      <c r="W123" s="691"/>
      <c r="X123" s="691"/>
      <c r="Y123" s="691"/>
    </row>
    <row r="124" spans="1:25" ht="21" customHeight="1">
      <c r="A124" s="100" t="s">
        <v>38</v>
      </c>
      <c r="B124" s="100">
        <v>52</v>
      </c>
      <c r="C124" s="100">
        <v>47</v>
      </c>
      <c r="D124" s="124">
        <v>46</v>
      </c>
      <c r="E124" s="108">
        <v>43</v>
      </c>
      <c r="F124" s="108">
        <v>7</v>
      </c>
      <c r="G124" s="108"/>
      <c r="H124" s="108"/>
      <c r="I124" s="252">
        <f t="shared" si="30"/>
        <v>195</v>
      </c>
      <c r="J124" s="252">
        <f>B124</f>
        <v>52</v>
      </c>
      <c r="K124" s="108">
        <v>40</v>
      </c>
      <c r="L124" s="108">
        <v>40</v>
      </c>
      <c r="M124" s="108">
        <v>40</v>
      </c>
      <c r="N124" s="108">
        <v>40</v>
      </c>
      <c r="O124" s="751">
        <v>40</v>
      </c>
      <c r="P124" s="691"/>
      <c r="Q124" s="691"/>
      <c r="R124" s="691"/>
      <c r="S124" s="691"/>
      <c r="T124" s="691"/>
      <c r="U124" s="691"/>
      <c r="V124" s="691"/>
      <c r="W124" s="691"/>
      <c r="X124" s="691"/>
      <c r="Y124" s="691"/>
    </row>
    <row r="125" spans="1:25" ht="21" customHeight="1">
      <c r="A125" s="100" t="s">
        <v>18</v>
      </c>
      <c r="B125" s="100">
        <v>30</v>
      </c>
      <c r="C125" s="100">
        <v>37</v>
      </c>
      <c r="D125" s="124">
        <v>40</v>
      </c>
      <c r="E125" s="108">
        <v>30</v>
      </c>
      <c r="F125" s="108">
        <v>9</v>
      </c>
      <c r="G125" s="108"/>
      <c r="H125" s="108"/>
      <c r="I125" s="252">
        <f t="shared" si="30"/>
        <v>146</v>
      </c>
      <c r="J125" s="252">
        <f>B125</f>
        <v>30</v>
      </c>
      <c r="K125" s="108">
        <v>40</v>
      </c>
      <c r="L125" s="108">
        <v>40</v>
      </c>
      <c r="M125" s="108">
        <v>40</v>
      </c>
      <c r="N125" s="108">
        <v>40</v>
      </c>
      <c r="O125" s="751">
        <v>40</v>
      </c>
      <c r="P125" s="691"/>
      <c r="Q125" s="691"/>
      <c r="R125" s="691"/>
      <c r="S125" s="691"/>
      <c r="T125" s="691"/>
      <c r="U125" s="691"/>
      <c r="V125" s="691"/>
      <c r="W125" s="691"/>
      <c r="X125" s="691"/>
      <c r="Y125" s="691"/>
    </row>
    <row r="126" spans="1:25" ht="21" hidden="1" customHeight="1">
      <c r="A126" s="100" t="s">
        <v>106</v>
      </c>
      <c r="B126" s="100"/>
      <c r="C126" s="100"/>
      <c r="D126" s="124"/>
      <c r="E126" s="108"/>
      <c r="F126" s="108"/>
      <c r="G126" s="108"/>
      <c r="H126" s="108"/>
      <c r="I126" s="108">
        <f t="shared" si="29"/>
        <v>0</v>
      </c>
      <c r="J126" s="108"/>
      <c r="K126" s="108"/>
      <c r="L126" s="108"/>
      <c r="M126" s="108"/>
      <c r="N126" s="108"/>
      <c r="O126" s="751"/>
      <c r="P126" s="691"/>
      <c r="Q126" s="691"/>
      <c r="R126" s="691"/>
      <c r="S126" s="691"/>
      <c r="T126" s="691"/>
      <c r="U126" s="691"/>
      <c r="V126" s="691"/>
      <c r="W126" s="691"/>
      <c r="X126" s="691"/>
      <c r="Y126" s="691"/>
    </row>
    <row r="127" spans="1:25" ht="21" customHeight="1">
      <c r="A127" s="100" t="s">
        <v>169</v>
      </c>
      <c r="B127" s="100">
        <v>28</v>
      </c>
      <c r="C127" s="100">
        <v>29</v>
      </c>
      <c r="D127" s="124">
        <v>48</v>
      </c>
      <c r="E127" s="108">
        <v>9</v>
      </c>
      <c r="F127" s="108">
        <v>2</v>
      </c>
      <c r="G127" s="108"/>
      <c r="H127" s="108"/>
      <c r="I127" s="252">
        <f>SUM(B127:H127)</f>
        <v>116</v>
      </c>
      <c r="J127" s="252">
        <f>B127</f>
        <v>28</v>
      </c>
      <c r="K127" s="108">
        <v>40</v>
      </c>
      <c r="L127" s="108">
        <v>40</v>
      </c>
      <c r="M127" s="108">
        <v>40</v>
      </c>
      <c r="N127" s="108">
        <v>40</v>
      </c>
      <c r="O127" s="751">
        <v>40</v>
      </c>
      <c r="P127" s="691"/>
      <c r="Q127" s="691"/>
      <c r="R127" s="691"/>
      <c r="S127" s="691"/>
      <c r="T127" s="691"/>
      <c r="U127" s="691"/>
      <c r="V127" s="691"/>
      <c r="W127" s="691"/>
      <c r="X127" s="691"/>
      <c r="Y127" s="691"/>
    </row>
    <row r="128" spans="1:25" ht="21" hidden="1" customHeight="1">
      <c r="A128" s="259" t="s">
        <v>120</v>
      </c>
      <c r="B128" s="259"/>
      <c r="C128" s="259"/>
      <c r="D128" s="260"/>
      <c r="E128" s="114"/>
      <c r="F128" s="114"/>
      <c r="G128" s="114"/>
      <c r="H128" s="114"/>
      <c r="I128" s="114"/>
      <c r="J128" s="161"/>
      <c r="K128" s="161"/>
      <c r="L128" s="161"/>
      <c r="M128" s="161"/>
      <c r="N128" s="161"/>
      <c r="O128" s="161"/>
      <c r="P128" s="693"/>
      <c r="Q128" s="693"/>
      <c r="R128" s="693"/>
      <c r="S128" s="693"/>
      <c r="T128" s="693"/>
      <c r="U128" s="693"/>
      <c r="V128" s="693"/>
      <c r="W128" s="693"/>
      <c r="X128" s="693"/>
      <c r="Y128" s="693"/>
    </row>
    <row r="129" spans="1:25" ht="21" hidden="1" customHeight="1">
      <c r="A129" s="103" t="s">
        <v>107</v>
      </c>
      <c r="B129" s="103"/>
      <c r="C129" s="103"/>
      <c r="D129" s="125"/>
      <c r="E129" s="111"/>
      <c r="F129" s="111"/>
      <c r="G129" s="111"/>
      <c r="H129" s="111"/>
      <c r="I129" s="111"/>
      <c r="J129" s="161"/>
      <c r="K129" s="161"/>
      <c r="L129" s="161"/>
      <c r="M129" s="161"/>
      <c r="N129" s="161"/>
      <c r="O129" s="161"/>
      <c r="P129" s="691"/>
      <c r="Q129" s="691"/>
      <c r="R129" s="691"/>
      <c r="S129" s="691"/>
      <c r="T129" s="691"/>
      <c r="U129" s="691"/>
      <c r="V129" s="691"/>
      <c r="W129" s="691"/>
      <c r="X129" s="691"/>
      <c r="Y129" s="691"/>
    </row>
    <row r="130" spans="1:25" ht="21" hidden="1" customHeight="1">
      <c r="A130" s="671" t="s">
        <v>3</v>
      </c>
      <c r="B130" s="671"/>
      <c r="C130" s="671"/>
      <c r="D130" s="672"/>
      <c r="E130" s="673">
        <f>SUM(E109:E129)</f>
        <v>166</v>
      </c>
      <c r="F130" s="673">
        <f>SUM(F109:F129)</f>
        <v>31</v>
      </c>
      <c r="G130" s="673">
        <f>SUM(G109:G129)</f>
        <v>0</v>
      </c>
      <c r="H130" s="673">
        <f>SUM(H109:H129)</f>
        <v>0</v>
      </c>
      <c r="I130" s="673">
        <f>SUM(I109:I129)</f>
        <v>845</v>
      </c>
      <c r="J130" s="160"/>
      <c r="K130" s="160"/>
      <c r="L130" s="160"/>
      <c r="M130" s="160"/>
      <c r="N130" s="160"/>
      <c r="O130" s="160"/>
      <c r="P130" s="692"/>
      <c r="Q130" s="692"/>
      <c r="R130" s="692"/>
      <c r="S130" s="692"/>
      <c r="T130" s="692"/>
      <c r="U130" s="692"/>
      <c r="V130" s="692"/>
      <c r="W130" s="692"/>
      <c r="X130" s="692"/>
      <c r="Y130" s="692"/>
    </row>
    <row r="131" spans="1:25" ht="21" customHeight="1">
      <c r="A131" s="681" t="s">
        <v>396</v>
      </c>
      <c r="B131" s="679"/>
      <c r="C131" s="679"/>
      <c r="D131" s="765"/>
      <c r="E131" s="680"/>
      <c r="F131" s="680"/>
      <c r="G131" s="680"/>
      <c r="H131" s="680"/>
      <c r="I131" s="680"/>
      <c r="J131" s="680"/>
      <c r="K131" s="680"/>
      <c r="L131" s="680"/>
      <c r="M131" s="680"/>
      <c r="N131" s="680"/>
      <c r="O131" s="680"/>
      <c r="P131" s="691"/>
      <c r="Q131" s="691"/>
      <c r="R131" s="691"/>
      <c r="S131" s="691"/>
      <c r="T131" s="691"/>
      <c r="U131" s="691"/>
      <c r="V131" s="691"/>
      <c r="W131" s="691"/>
      <c r="X131" s="691"/>
      <c r="Y131" s="691"/>
    </row>
    <row r="132" spans="1:25" ht="21" customHeight="1">
      <c r="A132" s="679"/>
      <c r="B132" s="679"/>
      <c r="C132" s="679"/>
      <c r="D132" s="765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91"/>
      <c r="Q132" s="691"/>
      <c r="R132" s="691"/>
      <c r="S132" s="691"/>
      <c r="T132" s="691"/>
      <c r="U132" s="691"/>
      <c r="V132" s="691"/>
      <c r="W132" s="691"/>
      <c r="X132" s="691"/>
      <c r="Y132" s="691"/>
    </row>
    <row r="133" spans="1:25" ht="21" customHeight="1">
      <c r="A133" s="679"/>
      <c r="B133" s="679"/>
      <c r="C133" s="679"/>
      <c r="D133" s="765"/>
      <c r="E133" s="680"/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91"/>
      <c r="Q133" s="691"/>
      <c r="R133" s="691"/>
      <c r="S133" s="691"/>
      <c r="T133" s="691"/>
      <c r="U133" s="691"/>
      <c r="V133" s="691"/>
      <c r="W133" s="691"/>
      <c r="X133" s="691"/>
      <c r="Y133" s="691"/>
    </row>
    <row r="134" spans="1:25" ht="21" customHeight="1">
      <c r="A134" s="679"/>
      <c r="B134" s="679"/>
      <c r="C134" s="679"/>
      <c r="D134" s="765"/>
      <c r="E134" s="680"/>
      <c r="F134" s="680"/>
      <c r="G134" s="680"/>
      <c r="H134" s="680"/>
      <c r="I134" s="680"/>
      <c r="J134" s="680"/>
      <c r="K134" s="680"/>
      <c r="L134" s="680"/>
      <c r="M134" s="680"/>
      <c r="N134" s="680"/>
      <c r="O134" s="680"/>
      <c r="P134" s="691"/>
      <c r="Q134" s="691"/>
      <c r="R134" s="691"/>
      <c r="S134" s="691"/>
      <c r="T134" s="691"/>
      <c r="U134" s="691"/>
      <c r="V134" s="691"/>
      <c r="W134" s="691"/>
      <c r="X134" s="691"/>
      <c r="Y134" s="691"/>
    </row>
    <row r="135" spans="1:25" ht="21" customHeight="1">
      <c r="A135" s="679"/>
      <c r="B135" s="679"/>
      <c r="C135" s="679"/>
      <c r="D135" s="765"/>
      <c r="E135" s="680"/>
      <c r="F135" s="680"/>
      <c r="G135" s="680"/>
      <c r="H135" s="680"/>
      <c r="I135" s="680"/>
      <c r="J135" s="680"/>
      <c r="K135" s="680"/>
      <c r="L135" s="680"/>
      <c r="M135" s="680"/>
      <c r="N135" s="680"/>
      <c r="O135" s="680"/>
      <c r="P135" s="691"/>
      <c r="Q135" s="691"/>
      <c r="R135" s="691"/>
      <c r="S135" s="691"/>
      <c r="T135" s="691"/>
      <c r="U135" s="691"/>
      <c r="V135" s="691"/>
      <c r="W135" s="691"/>
      <c r="X135" s="691"/>
      <c r="Y135" s="691"/>
    </row>
    <row r="136" spans="1:25" ht="21" customHeight="1">
      <c r="A136" s="679"/>
      <c r="B136" s="679"/>
      <c r="C136" s="679"/>
      <c r="D136" s="765"/>
      <c r="E136" s="680"/>
      <c r="F136" s="680"/>
      <c r="G136" s="680"/>
      <c r="H136" s="680"/>
      <c r="I136" s="680"/>
      <c r="J136" s="680"/>
      <c r="K136" s="680"/>
      <c r="L136" s="680"/>
      <c r="M136" s="680"/>
      <c r="N136" s="680"/>
      <c r="O136" s="680"/>
      <c r="P136" s="691"/>
      <c r="Q136" s="691"/>
      <c r="R136" s="691"/>
      <c r="S136" s="691"/>
      <c r="T136" s="691"/>
      <c r="U136" s="691"/>
      <c r="V136" s="691"/>
      <c r="W136" s="691"/>
      <c r="X136" s="691"/>
      <c r="Y136" s="691"/>
    </row>
    <row r="137" spans="1:25" ht="21" customHeight="1">
      <c r="A137" s="679"/>
      <c r="B137" s="679"/>
      <c r="C137" s="679"/>
      <c r="D137" s="765"/>
      <c r="E137" s="680"/>
      <c r="F137" s="680"/>
      <c r="G137" s="680"/>
      <c r="H137" s="680"/>
      <c r="I137" s="680"/>
      <c r="J137" s="680"/>
      <c r="K137" s="680"/>
      <c r="L137" s="680"/>
      <c r="M137" s="680"/>
      <c r="N137" s="680"/>
      <c r="O137" s="680"/>
      <c r="P137" s="691"/>
      <c r="Q137" s="691"/>
      <c r="R137" s="691"/>
      <c r="S137" s="691"/>
      <c r="T137" s="691"/>
      <c r="U137" s="691"/>
      <c r="V137" s="691"/>
      <c r="W137" s="691"/>
      <c r="X137" s="691"/>
      <c r="Y137" s="691"/>
    </row>
    <row r="138" spans="1:25" ht="21" customHeight="1">
      <c r="A138" s="679"/>
      <c r="B138" s="679"/>
      <c r="C138" s="679"/>
      <c r="D138" s="765"/>
      <c r="E138" s="680"/>
      <c r="F138" s="680"/>
      <c r="G138" s="680"/>
      <c r="H138" s="680"/>
      <c r="I138" s="680"/>
      <c r="J138" s="680"/>
      <c r="K138" s="680"/>
      <c r="L138" s="680"/>
      <c r="M138" s="680"/>
      <c r="N138" s="680"/>
      <c r="O138" s="680"/>
      <c r="P138" s="691"/>
      <c r="Q138" s="691"/>
      <c r="R138" s="691"/>
      <c r="S138" s="691"/>
      <c r="T138" s="691"/>
      <c r="U138" s="691"/>
      <c r="V138" s="691"/>
      <c r="W138" s="691"/>
      <c r="X138" s="691"/>
      <c r="Y138" s="691"/>
    </row>
    <row r="139" spans="1:25" ht="21" customHeight="1">
      <c r="A139" s="679"/>
      <c r="B139" s="679"/>
      <c r="C139" s="679"/>
      <c r="D139" s="765"/>
      <c r="E139" s="680"/>
      <c r="F139" s="680"/>
      <c r="G139" s="680"/>
      <c r="H139" s="680"/>
      <c r="I139" s="680"/>
      <c r="J139" s="680"/>
      <c r="K139" s="680"/>
      <c r="L139" s="680"/>
      <c r="M139" s="680"/>
      <c r="N139" s="680"/>
      <c r="O139" s="680"/>
      <c r="P139" s="691"/>
      <c r="Q139" s="691"/>
      <c r="R139" s="691"/>
      <c r="S139" s="691"/>
      <c r="T139" s="691"/>
      <c r="U139" s="691"/>
      <c r="V139" s="691"/>
      <c r="W139" s="691"/>
      <c r="X139" s="691"/>
      <c r="Y139" s="691"/>
    </row>
    <row r="140" spans="1:25" ht="21" customHeight="1">
      <c r="A140" s="679"/>
      <c r="B140" s="679"/>
      <c r="C140" s="679"/>
      <c r="D140" s="765"/>
      <c r="E140" s="680"/>
      <c r="F140" s="680"/>
      <c r="G140" s="680"/>
      <c r="H140" s="680"/>
      <c r="I140" s="680"/>
      <c r="J140" s="680"/>
      <c r="K140" s="680"/>
      <c r="L140" s="680"/>
      <c r="M140" s="680"/>
      <c r="N140" s="680"/>
      <c r="O140" s="680"/>
      <c r="P140" s="691"/>
      <c r="Q140" s="691"/>
      <c r="R140" s="691"/>
      <c r="S140" s="691"/>
      <c r="T140" s="691"/>
      <c r="U140" s="691"/>
      <c r="V140" s="691"/>
      <c r="W140" s="691"/>
      <c r="X140" s="691"/>
      <c r="Y140" s="691"/>
    </row>
    <row r="141" spans="1:25" ht="21" customHeight="1">
      <c r="A141" s="682"/>
      <c r="B141" s="682"/>
      <c r="C141" s="682"/>
      <c r="D141" s="766"/>
      <c r="E141" s="683"/>
      <c r="F141" s="683"/>
      <c r="G141" s="683"/>
      <c r="H141" s="683"/>
      <c r="I141" s="683"/>
      <c r="J141" s="683"/>
      <c r="K141" s="683"/>
      <c r="L141" s="683"/>
      <c r="M141" s="683"/>
      <c r="N141" s="683"/>
      <c r="O141" s="683"/>
      <c r="P141" s="754"/>
      <c r="Q141" s="754"/>
      <c r="R141" s="754"/>
      <c r="S141" s="754"/>
      <c r="T141" s="754"/>
      <c r="U141" s="754"/>
      <c r="V141" s="754"/>
      <c r="W141" s="754"/>
      <c r="X141" s="754"/>
      <c r="Y141" s="754"/>
    </row>
    <row r="142" spans="1:25" ht="21" customHeight="1">
      <c r="A142" s="101" t="s">
        <v>19</v>
      </c>
      <c r="B142" s="110">
        <f t="shared" ref="B142:I142" si="31">SUM(B143:B153)</f>
        <v>724</v>
      </c>
      <c r="C142" s="110">
        <f t="shared" si="31"/>
        <v>530</v>
      </c>
      <c r="D142" s="110">
        <f t="shared" si="31"/>
        <v>501</v>
      </c>
      <c r="E142" s="110">
        <f t="shared" si="31"/>
        <v>441</v>
      </c>
      <c r="F142" s="110">
        <f t="shared" si="31"/>
        <v>59</v>
      </c>
      <c r="G142" s="110">
        <f t="shared" si="31"/>
        <v>0</v>
      </c>
      <c r="H142" s="110">
        <f t="shared" si="31"/>
        <v>0</v>
      </c>
      <c r="I142" s="110">
        <f t="shared" si="31"/>
        <v>2255</v>
      </c>
      <c r="J142" s="110">
        <f t="shared" ref="J142:Y142" si="32">SUM(J143:J153)</f>
        <v>724</v>
      </c>
      <c r="K142" s="110">
        <f t="shared" si="32"/>
        <v>660</v>
      </c>
      <c r="L142" s="110">
        <f t="shared" si="32"/>
        <v>665</v>
      </c>
      <c r="M142" s="110">
        <f t="shared" si="32"/>
        <v>660</v>
      </c>
      <c r="N142" s="110">
        <f t="shared" si="32"/>
        <v>655</v>
      </c>
      <c r="O142" s="110">
        <f t="shared" si="32"/>
        <v>650</v>
      </c>
      <c r="P142" s="110">
        <f t="shared" si="32"/>
        <v>0</v>
      </c>
      <c r="Q142" s="110">
        <f t="shared" si="32"/>
        <v>0</v>
      </c>
      <c r="R142" s="110">
        <f t="shared" si="32"/>
        <v>0</v>
      </c>
      <c r="S142" s="110">
        <f t="shared" si="32"/>
        <v>0</v>
      </c>
      <c r="T142" s="110">
        <f t="shared" si="32"/>
        <v>0</v>
      </c>
      <c r="U142" s="110">
        <f t="shared" si="32"/>
        <v>0</v>
      </c>
      <c r="V142" s="110">
        <f t="shared" si="32"/>
        <v>0</v>
      </c>
      <c r="W142" s="110">
        <f t="shared" si="32"/>
        <v>0</v>
      </c>
      <c r="X142" s="110">
        <f t="shared" si="32"/>
        <v>0</v>
      </c>
      <c r="Y142" s="110">
        <f t="shared" si="32"/>
        <v>0</v>
      </c>
    </row>
    <row r="143" spans="1:25" ht="21" customHeight="1">
      <c r="A143" s="398" t="s">
        <v>4</v>
      </c>
      <c r="B143" s="398">
        <v>56</v>
      </c>
      <c r="C143" s="383">
        <v>56</v>
      </c>
      <c r="D143" s="675">
        <v>55</v>
      </c>
      <c r="E143" s="664">
        <v>39</v>
      </c>
      <c r="F143" s="664">
        <v>10</v>
      </c>
      <c r="G143" s="664"/>
      <c r="H143" s="664"/>
      <c r="I143" s="662">
        <f t="shared" ref="I143:I152" si="33">SUM(B143:H143)</f>
        <v>216</v>
      </c>
      <c r="J143" s="662">
        <f t="shared" ref="J143:J153" si="34">B143</f>
        <v>56</v>
      </c>
      <c r="K143" s="664">
        <v>45</v>
      </c>
      <c r="L143" s="664">
        <v>45</v>
      </c>
      <c r="M143" s="664">
        <v>45</v>
      </c>
      <c r="N143" s="664">
        <v>45</v>
      </c>
      <c r="O143" s="664">
        <v>45</v>
      </c>
      <c r="P143" s="735"/>
      <c r="Q143" s="735"/>
      <c r="R143" s="735"/>
      <c r="S143" s="735"/>
      <c r="T143" s="735"/>
      <c r="U143" s="735"/>
      <c r="V143" s="735"/>
      <c r="W143" s="735"/>
      <c r="X143" s="735"/>
      <c r="Y143" s="735"/>
    </row>
    <row r="144" spans="1:25" ht="21" customHeight="1">
      <c r="A144" s="100" t="s">
        <v>214</v>
      </c>
      <c r="B144" s="100">
        <v>89</v>
      </c>
      <c r="C144" s="386">
        <v>54</v>
      </c>
      <c r="D144" s="124">
        <v>67</v>
      </c>
      <c r="E144" s="108">
        <v>46</v>
      </c>
      <c r="F144" s="108">
        <v>2</v>
      </c>
      <c r="G144" s="108"/>
      <c r="H144" s="108"/>
      <c r="I144" s="252">
        <f t="shared" si="33"/>
        <v>258</v>
      </c>
      <c r="J144" s="252">
        <f t="shared" si="34"/>
        <v>89</v>
      </c>
      <c r="K144" s="108">
        <v>80</v>
      </c>
      <c r="L144" s="108">
        <v>80</v>
      </c>
      <c r="M144" s="108">
        <v>80</v>
      </c>
      <c r="N144" s="108">
        <v>80</v>
      </c>
      <c r="O144" s="108">
        <v>80</v>
      </c>
      <c r="P144" s="691"/>
      <c r="Q144" s="691"/>
      <c r="R144" s="691"/>
      <c r="S144" s="691"/>
      <c r="T144" s="691"/>
      <c r="U144" s="691"/>
      <c r="V144" s="691"/>
      <c r="W144" s="691"/>
      <c r="X144" s="691"/>
      <c r="Y144" s="691"/>
    </row>
    <row r="145" spans="1:25" ht="21" customHeight="1">
      <c r="A145" s="100" t="s">
        <v>76</v>
      </c>
      <c r="B145" s="100">
        <v>79</v>
      </c>
      <c r="C145" s="386">
        <v>42</v>
      </c>
      <c r="D145" s="124">
        <v>34</v>
      </c>
      <c r="E145" s="108">
        <v>42</v>
      </c>
      <c r="F145" s="108">
        <v>2</v>
      </c>
      <c r="G145" s="108"/>
      <c r="H145" s="108"/>
      <c r="I145" s="252">
        <f t="shared" si="33"/>
        <v>199</v>
      </c>
      <c r="J145" s="252">
        <f t="shared" si="34"/>
        <v>79</v>
      </c>
      <c r="K145" s="108">
        <v>60</v>
      </c>
      <c r="L145" s="108">
        <v>60</v>
      </c>
      <c r="M145" s="108">
        <v>60</v>
      </c>
      <c r="N145" s="108">
        <v>60</v>
      </c>
      <c r="O145" s="108">
        <v>60</v>
      </c>
      <c r="P145" s="691"/>
      <c r="Q145" s="691"/>
      <c r="R145" s="691"/>
      <c r="S145" s="691"/>
      <c r="T145" s="691"/>
      <c r="U145" s="691"/>
      <c r="V145" s="691"/>
      <c r="W145" s="691"/>
      <c r="X145" s="691"/>
      <c r="Y145" s="691"/>
    </row>
    <row r="146" spans="1:25" ht="21" customHeight="1">
      <c r="A146" s="100" t="s">
        <v>21</v>
      </c>
      <c r="B146" s="100">
        <v>65</v>
      </c>
      <c r="C146" s="386">
        <v>49</v>
      </c>
      <c r="D146" s="124">
        <v>47</v>
      </c>
      <c r="E146" s="108">
        <v>28</v>
      </c>
      <c r="F146" s="108">
        <v>6</v>
      </c>
      <c r="G146" s="108"/>
      <c r="H146" s="108"/>
      <c r="I146" s="252">
        <f t="shared" si="33"/>
        <v>195</v>
      </c>
      <c r="J146" s="252">
        <f t="shared" si="34"/>
        <v>65</v>
      </c>
      <c r="K146" s="108">
        <v>50</v>
      </c>
      <c r="L146" s="108">
        <v>50</v>
      </c>
      <c r="M146" s="108">
        <v>50</v>
      </c>
      <c r="N146" s="108">
        <v>50</v>
      </c>
      <c r="O146" s="108">
        <v>50</v>
      </c>
      <c r="P146" s="691"/>
      <c r="Q146" s="691"/>
      <c r="R146" s="691"/>
      <c r="S146" s="691"/>
      <c r="T146" s="691"/>
      <c r="U146" s="691"/>
      <c r="V146" s="691"/>
      <c r="W146" s="691"/>
      <c r="X146" s="691"/>
      <c r="Y146" s="691"/>
    </row>
    <row r="147" spans="1:25" ht="21" customHeight="1">
      <c r="A147" s="100" t="s">
        <v>22</v>
      </c>
      <c r="B147" s="100">
        <v>102</v>
      </c>
      <c r="C147" s="386">
        <v>63</v>
      </c>
      <c r="D147" s="124">
        <v>40</v>
      </c>
      <c r="E147" s="108">
        <v>78</v>
      </c>
      <c r="F147" s="108">
        <v>7</v>
      </c>
      <c r="G147" s="108"/>
      <c r="H147" s="108"/>
      <c r="I147" s="252">
        <f t="shared" si="33"/>
        <v>290</v>
      </c>
      <c r="J147" s="252">
        <f t="shared" si="34"/>
        <v>102</v>
      </c>
      <c r="K147" s="108">
        <v>80</v>
      </c>
      <c r="L147" s="108">
        <v>75</v>
      </c>
      <c r="M147" s="108">
        <v>70</v>
      </c>
      <c r="N147" s="108">
        <v>65</v>
      </c>
      <c r="O147" s="108">
        <v>60</v>
      </c>
      <c r="P147" s="691"/>
      <c r="Q147" s="691"/>
      <c r="R147" s="691"/>
      <c r="S147" s="691"/>
      <c r="T147" s="691"/>
      <c r="U147" s="691"/>
      <c r="V147" s="691"/>
      <c r="W147" s="691"/>
      <c r="X147" s="691"/>
      <c r="Y147" s="691"/>
    </row>
    <row r="148" spans="1:25" ht="21" customHeight="1">
      <c r="A148" s="100" t="s">
        <v>81</v>
      </c>
      <c r="B148" s="100">
        <v>32</v>
      </c>
      <c r="C148" s="386">
        <v>23</v>
      </c>
      <c r="D148" s="124">
        <v>33</v>
      </c>
      <c r="E148" s="108">
        <v>28</v>
      </c>
      <c r="F148" s="108">
        <v>19</v>
      </c>
      <c r="G148" s="108"/>
      <c r="H148" s="108"/>
      <c r="I148" s="252">
        <f t="shared" si="33"/>
        <v>135</v>
      </c>
      <c r="J148" s="252">
        <f t="shared" si="34"/>
        <v>32</v>
      </c>
      <c r="K148" s="108">
        <v>50</v>
      </c>
      <c r="L148" s="108">
        <v>50</v>
      </c>
      <c r="M148" s="108">
        <v>50</v>
      </c>
      <c r="N148" s="108">
        <v>50</v>
      </c>
      <c r="O148" s="108">
        <v>50</v>
      </c>
      <c r="P148" s="691"/>
      <c r="Q148" s="691"/>
      <c r="R148" s="691"/>
      <c r="S148" s="691"/>
      <c r="T148" s="691"/>
      <c r="U148" s="691"/>
      <c r="V148" s="691"/>
      <c r="W148" s="691"/>
      <c r="X148" s="691"/>
      <c r="Y148" s="691"/>
    </row>
    <row r="149" spans="1:25" ht="21" customHeight="1">
      <c r="A149" s="100" t="s">
        <v>24</v>
      </c>
      <c r="B149" s="100">
        <v>38</v>
      </c>
      <c r="C149" s="386">
        <v>42</v>
      </c>
      <c r="D149" s="124">
        <v>49</v>
      </c>
      <c r="E149" s="108">
        <v>70</v>
      </c>
      <c r="F149" s="108"/>
      <c r="G149" s="108"/>
      <c r="H149" s="108"/>
      <c r="I149" s="252">
        <f t="shared" si="33"/>
        <v>199</v>
      </c>
      <c r="J149" s="252">
        <f t="shared" si="34"/>
        <v>38</v>
      </c>
      <c r="K149" s="108">
        <v>50</v>
      </c>
      <c r="L149" s="108">
        <v>50</v>
      </c>
      <c r="M149" s="108">
        <v>50</v>
      </c>
      <c r="N149" s="108">
        <v>50</v>
      </c>
      <c r="O149" s="108">
        <v>50</v>
      </c>
      <c r="P149" s="691"/>
      <c r="Q149" s="691"/>
      <c r="R149" s="691"/>
      <c r="S149" s="691"/>
      <c r="T149" s="691"/>
      <c r="U149" s="691"/>
      <c r="V149" s="691"/>
      <c r="W149" s="691"/>
      <c r="X149" s="691"/>
      <c r="Y149" s="691"/>
    </row>
    <row r="150" spans="1:25" ht="21" customHeight="1">
      <c r="A150" s="100" t="s">
        <v>299</v>
      </c>
      <c r="B150" s="100">
        <v>26</v>
      </c>
      <c r="C150" s="386">
        <v>27</v>
      </c>
      <c r="D150" s="124">
        <v>15</v>
      </c>
      <c r="E150" s="108"/>
      <c r="F150" s="108"/>
      <c r="G150" s="652"/>
      <c r="H150" s="108"/>
      <c r="I150" s="252">
        <f t="shared" si="33"/>
        <v>68</v>
      </c>
      <c r="J150" s="252">
        <f t="shared" si="34"/>
        <v>26</v>
      </c>
      <c r="K150" s="108">
        <v>25</v>
      </c>
      <c r="L150" s="108">
        <v>25</v>
      </c>
      <c r="M150" s="108">
        <v>25</v>
      </c>
      <c r="N150" s="108">
        <v>25</v>
      </c>
      <c r="O150" s="108">
        <v>25</v>
      </c>
      <c r="P150" s="691"/>
      <c r="Q150" s="691"/>
      <c r="R150" s="691"/>
      <c r="S150" s="691"/>
      <c r="T150" s="691"/>
      <c r="U150" s="691"/>
      <c r="V150" s="691"/>
      <c r="W150" s="691"/>
      <c r="X150" s="691"/>
      <c r="Y150" s="691"/>
    </row>
    <row r="151" spans="1:25" ht="21" customHeight="1">
      <c r="A151" s="100" t="s">
        <v>168</v>
      </c>
      <c r="B151" s="100">
        <v>75</v>
      </c>
      <c r="C151" s="386">
        <v>64</v>
      </c>
      <c r="D151" s="124">
        <v>64</v>
      </c>
      <c r="E151" s="108">
        <v>69</v>
      </c>
      <c r="F151" s="108">
        <v>6</v>
      </c>
      <c r="G151" s="108"/>
      <c r="H151" s="108"/>
      <c r="I151" s="252">
        <f t="shared" si="33"/>
        <v>278</v>
      </c>
      <c r="J151" s="252">
        <f t="shared" si="34"/>
        <v>75</v>
      </c>
      <c r="K151" s="108">
        <v>60</v>
      </c>
      <c r="L151" s="108">
        <v>60</v>
      </c>
      <c r="M151" s="108">
        <v>60</v>
      </c>
      <c r="N151" s="108">
        <v>60</v>
      </c>
      <c r="O151" s="108">
        <v>60</v>
      </c>
      <c r="P151" s="691"/>
      <c r="Q151" s="691"/>
      <c r="R151" s="691"/>
      <c r="S151" s="691"/>
      <c r="T151" s="691"/>
      <c r="U151" s="691"/>
      <c r="V151" s="691"/>
      <c r="W151" s="691"/>
      <c r="X151" s="691"/>
      <c r="Y151" s="691"/>
    </row>
    <row r="152" spans="1:25" ht="21" customHeight="1">
      <c r="A152" s="100" t="s">
        <v>275</v>
      </c>
      <c r="B152" s="100">
        <v>39</v>
      </c>
      <c r="C152" s="386">
        <v>36</v>
      </c>
      <c r="D152" s="124">
        <v>45</v>
      </c>
      <c r="E152" s="108"/>
      <c r="F152" s="108"/>
      <c r="G152" s="108"/>
      <c r="H152" s="108"/>
      <c r="I152" s="252">
        <f t="shared" si="33"/>
        <v>120</v>
      </c>
      <c r="J152" s="252">
        <f t="shared" si="34"/>
        <v>39</v>
      </c>
      <c r="K152" s="108">
        <v>40</v>
      </c>
      <c r="L152" s="108">
        <v>50</v>
      </c>
      <c r="M152" s="108">
        <v>50</v>
      </c>
      <c r="N152" s="108">
        <v>50</v>
      </c>
      <c r="O152" s="108">
        <v>50</v>
      </c>
      <c r="P152" s="691"/>
      <c r="Q152" s="691"/>
      <c r="R152" s="691"/>
      <c r="S152" s="691"/>
      <c r="T152" s="691"/>
      <c r="U152" s="691"/>
      <c r="V152" s="691"/>
      <c r="W152" s="691"/>
      <c r="X152" s="691"/>
      <c r="Y152" s="691"/>
    </row>
    <row r="153" spans="1:25" ht="21" customHeight="1">
      <c r="A153" s="100" t="s">
        <v>25</v>
      </c>
      <c r="B153" s="100">
        <v>123</v>
      </c>
      <c r="C153" s="386">
        <v>74</v>
      </c>
      <c r="D153" s="124">
        <v>52</v>
      </c>
      <c r="E153" s="108">
        <v>41</v>
      </c>
      <c r="F153" s="108">
        <v>7</v>
      </c>
      <c r="G153" s="108"/>
      <c r="H153" s="108"/>
      <c r="I153" s="252">
        <f>SUM(B153:H153)</f>
        <v>297</v>
      </c>
      <c r="J153" s="252">
        <f t="shared" si="34"/>
        <v>123</v>
      </c>
      <c r="K153" s="108">
        <v>120</v>
      </c>
      <c r="L153" s="108">
        <v>120</v>
      </c>
      <c r="M153" s="108">
        <v>120</v>
      </c>
      <c r="N153" s="108">
        <v>120</v>
      </c>
      <c r="O153" s="108">
        <v>120</v>
      </c>
      <c r="P153" s="691"/>
      <c r="Q153" s="691"/>
      <c r="R153" s="691"/>
      <c r="S153" s="691"/>
      <c r="T153" s="691"/>
      <c r="U153" s="691"/>
      <c r="V153" s="691"/>
      <c r="W153" s="691"/>
      <c r="X153" s="691"/>
      <c r="Y153" s="691"/>
    </row>
    <row r="154" spans="1:25" ht="21" customHeight="1">
      <c r="A154" s="681" t="s">
        <v>396</v>
      </c>
      <c r="B154" s="100"/>
      <c r="C154" s="386"/>
      <c r="D154" s="124"/>
      <c r="E154" s="108"/>
      <c r="F154" s="108"/>
      <c r="G154" s="108"/>
      <c r="H154" s="108"/>
      <c r="I154" s="252"/>
      <c r="J154" s="252"/>
      <c r="K154" s="108"/>
      <c r="L154" s="108"/>
      <c r="M154" s="108"/>
      <c r="N154" s="108"/>
      <c r="O154" s="108"/>
      <c r="P154" s="691"/>
      <c r="Q154" s="691"/>
      <c r="R154" s="691"/>
      <c r="S154" s="691"/>
      <c r="T154" s="691"/>
      <c r="U154" s="691"/>
      <c r="V154" s="691"/>
      <c r="W154" s="691"/>
      <c r="X154" s="691"/>
      <c r="Y154" s="691"/>
    </row>
    <row r="155" spans="1:25" ht="21" customHeight="1">
      <c r="A155" s="681"/>
      <c r="B155" s="100"/>
      <c r="C155" s="386"/>
      <c r="D155" s="124"/>
      <c r="E155" s="108"/>
      <c r="F155" s="108"/>
      <c r="G155" s="108"/>
      <c r="H155" s="108"/>
      <c r="I155" s="252"/>
      <c r="J155" s="252"/>
      <c r="K155" s="108"/>
      <c r="L155" s="108"/>
      <c r="M155" s="108"/>
      <c r="N155" s="108"/>
      <c r="O155" s="108"/>
      <c r="P155" s="691"/>
      <c r="Q155" s="691"/>
      <c r="R155" s="691"/>
      <c r="S155" s="691"/>
      <c r="T155" s="691"/>
      <c r="U155" s="691"/>
      <c r="V155" s="691"/>
      <c r="W155" s="691"/>
      <c r="X155" s="691"/>
      <c r="Y155" s="691"/>
    </row>
    <row r="156" spans="1:25" ht="21" customHeight="1">
      <c r="A156" s="100"/>
      <c r="B156" s="100"/>
      <c r="C156" s="386"/>
      <c r="D156" s="124"/>
      <c r="E156" s="108"/>
      <c r="F156" s="108"/>
      <c r="G156" s="108"/>
      <c r="H156" s="108"/>
      <c r="I156" s="252"/>
      <c r="J156" s="252"/>
      <c r="K156" s="108"/>
      <c r="L156" s="108"/>
      <c r="M156" s="108"/>
      <c r="N156" s="108"/>
      <c r="O156" s="108"/>
      <c r="P156" s="691"/>
      <c r="Q156" s="691"/>
      <c r="R156" s="691"/>
      <c r="S156" s="691"/>
      <c r="T156" s="691"/>
      <c r="U156" s="691"/>
      <c r="V156" s="691"/>
      <c r="W156" s="691"/>
      <c r="X156" s="691"/>
      <c r="Y156" s="691"/>
    </row>
    <row r="157" spans="1:25" ht="21" customHeight="1">
      <c r="A157" s="100"/>
      <c r="B157" s="100"/>
      <c r="C157" s="386"/>
      <c r="D157" s="124"/>
      <c r="E157" s="108"/>
      <c r="F157" s="108"/>
      <c r="G157" s="108"/>
      <c r="H157" s="108"/>
      <c r="I157" s="252"/>
      <c r="J157" s="252"/>
      <c r="K157" s="108"/>
      <c r="L157" s="108"/>
      <c r="M157" s="108"/>
      <c r="N157" s="108"/>
      <c r="O157" s="108"/>
      <c r="P157" s="691"/>
      <c r="Q157" s="691"/>
      <c r="R157" s="691"/>
      <c r="S157" s="691"/>
      <c r="T157" s="691"/>
      <c r="U157" s="691"/>
      <c r="V157" s="691"/>
      <c r="W157" s="691"/>
      <c r="X157" s="691"/>
      <c r="Y157" s="691"/>
    </row>
    <row r="158" spans="1:25" ht="21" customHeight="1">
      <c r="A158" s="100"/>
      <c r="B158" s="100"/>
      <c r="C158" s="386"/>
      <c r="D158" s="124"/>
      <c r="E158" s="108"/>
      <c r="F158" s="108"/>
      <c r="G158" s="108"/>
      <c r="H158" s="108"/>
      <c r="I158" s="252"/>
      <c r="J158" s="252"/>
      <c r="K158" s="108"/>
      <c r="L158" s="108"/>
      <c r="M158" s="108"/>
      <c r="N158" s="108"/>
      <c r="O158" s="108"/>
      <c r="P158" s="691"/>
      <c r="Q158" s="691"/>
      <c r="R158" s="691"/>
      <c r="S158" s="691"/>
      <c r="T158" s="691"/>
      <c r="U158" s="691"/>
      <c r="V158" s="691"/>
      <c r="W158" s="691"/>
      <c r="X158" s="691"/>
      <c r="Y158" s="691"/>
    </row>
    <row r="159" spans="1:25" ht="21" customHeight="1">
      <c r="A159" s="100"/>
      <c r="B159" s="100"/>
      <c r="C159" s="386"/>
      <c r="D159" s="124"/>
      <c r="E159" s="108"/>
      <c r="F159" s="108"/>
      <c r="G159" s="108"/>
      <c r="H159" s="108"/>
      <c r="I159" s="252"/>
      <c r="J159" s="252"/>
      <c r="K159" s="108"/>
      <c r="L159" s="108"/>
      <c r="M159" s="108"/>
      <c r="N159" s="108"/>
      <c r="O159" s="108"/>
      <c r="P159" s="691"/>
      <c r="Q159" s="691"/>
      <c r="R159" s="691"/>
      <c r="S159" s="691"/>
      <c r="T159" s="691"/>
      <c r="U159" s="691"/>
      <c r="V159" s="691"/>
      <c r="W159" s="691"/>
      <c r="X159" s="691"/>
      <c r="Y159" s="691"/>
    </row>
    <row r="160" spans="1:25" ht="21" customHeight="1">
      <c r="A160" s="100"/>
      <c r="B160" s="100"/>
      <c r="C160" s="386"/>
      <c r="D160" s="124"/>
      <c r="E160" s="108"/>
      <c r="F160" s="108"/>
      <c r="G160" s="108"/>
      <c r="H160" s="108"/>
      <c r="I160" s="252"/>
      <c r="J160" s="252"/>
      <c r="K160" s="108"/>
      <c r="L160" s="108"/>
      <c r="M160" s="108"/>
      <c r="N160" s="108"/>
      <c r="O160" s="108"/>
      <c r="P160" s="691"/>
      <c r="Q160" s="691"/>
      <c r="R160" s="691"/>
      <c r="S160" s="691"/>
      <c r="T160" s="691"/>
      <c r="U160" s="691"/>
      <c r="V160" s="691"/>
      <c r="W160" s="691"/>
      <c r="X160" s="691"/>
      <c r="Y160" s="691"/>
    </row>
    <row r="161" spans="1:25" ht="21" customHeight="1">
      <c r="A161" s="100"/>
      <c r="B161" s="100"/>
      <c r="C161" s="386"/>
      <c r="D161" s="124"/>
      <c r="E161" s="108"/>
      <c r="F161" s="108"/>
      <c r="G161" s="108"/>
      <c r="H161" s="108"/>
      <c r="I161" s="252"/>
      <c r="J161" s="252"/>
      <c r="K161" s="108"/>
      <c r="L161" s="108"/>
      <c r="M161" s="108"/>
      <c r="N161" s="108"/>
      <c r="O161" s="108"/>
      <c r="P161" s="691"/>
      <c r="Q161" s="691"/>
      <c r="R161" s="691"/>
      <c r="S161" s="691"/>
      <c r="T161" s="691"/>
      <c r="U161" s="691"/>
      <c r="V161" s="691"/>
      <c r="W161" s="691"/>
      <c r="X161" s="691"/>
      <c r="Y161" s="691"/>
    </row>
    <row r="162" spans="1:25" ht="21" customHeight="1">
      <c r="A162" s="401"/>
      <c r="B162" s="401"/>
      <c r="C162" s="676"/>
      <c r="D162" s="677"/>
      <c r="E162" s="670"/>
      <c r="F162" s="670"/>
      <c r="G162" s="670"/>
      <c r="H162" s="670"/>
      <c r="I162" s="668"/>
      <c r="J162" s="668"/>
      <c r="K162" s="670"/>
      <c r="L162" s="670"/>
      <c r="M162" s="670"/>
      <c r="N162" s="670"/>
      <c r="O162" s="670"/>
      <c r="P162" s="754"/>
      <c r="Q162" s="754"/>
      <c r="R162" s="754"/>
      <c r="S162" s="754"/>
      <c r="T162" s="754"/>
      <c r="U162" s="754"/>
      <c r="V162" s="754"/>
      <c r="W162" s="754"/>
      <c r="X162" s="754"/>
      <c r="Y162" s="754"/>
    </row>
    <row r="163" spans="1:25" ht="21" customHeight="1">
      <c r="A163" s="414" t="s">
        <v>3</v>
      </c>
      <c r="B163" s="719">
        <f t="shared" ref="B163:I163" si="35">SUM(B143:B153)</f>
        <v>724</v>
      </c>
      <c r="C163" s="719">
        <f t="shared" si="35"/>
        <v>530</v>
      </c>
      <c r="D163" s="719">
        <f t="shared" si="35"/>
        <v>501</v>
      </c>
      <c r="E163" s="719">
        <f t="shared" si="35"/>
        <v>441</v>
      </c>
      <c r="F163" s="719">
        <f t="shared" si="35"/>
        <v>59</v>
      </c>
      <c r="G163" s="719">
        <f t="shared" si="35"/>
        <v>0</v>
      </c>
      <c r="H163" s="719">
        <f t="shared" si="35"/>
        <v>0</v>
      </c>
      <c r="I163" s="719">
        <f t="shared" si="35"/>
        <v>2255</v>
      </c>
      <c r="J163" s="719">
        <f t="shared" ref="J163:Y163" si="36">SUM(J143:J153)</f>
        <v>724</v>
      </c>
      <c r="K163" s="719">
        <f t="shared" si="36"/>
        <v>660</v>
      </c>
      <c r="L163" s="719">
        <f t="shared" si="36"/>
        <v>665</v>
      </c>
      <c r="M163" s="719">
        <f t="shared" si="36"/>
        <v>660</v>
      </c>
      <c r="N163" s="719">
        <f t="shared" si="36"/>
        <v>655</v>
      </c>
      <c r="O163" s="756">
        <f t="shared" si="36"/>
        <v>650</v>
      </c>
      <c r="P163" s="756">
        <f t="shared" si="36"/>
        <v>0</v>
      </c>
      <c r="Q163" s="756">
        <f t="shared" si="36"/>
        <v>0</v>
      </c>
      <c r="R163" s="756">
        <f t="shared" si="36"/>
        <v>0</v>
      </c>
      <c r="S163" s="756">
        <f t="shared" si="36"/>
        <v>0</v>
      </c>
      <c r="T163" s="756">
        <f t="shared" si="36"/>
        <v>0</v>
      </c>
      <c r="U163" s="756">
        <f t="shared" si="36"/>
        <v>0</v>
      </c>
      <c r="V163" s="756">
        <f t="shared" si="36"/>
        <v>0</v>
      </c>
      <c r="W163" s="756">
        <f t="shared" si="36"/>
        <v>0</v>
      </c>
      <c r="X163" s="756">
        <f t="shared" si="36"/>
        <v>0</v>
      </c>
      <c r="Y163" s="756">
        <f t="shared" si="36"/>
        <v>0</v>
      </c>
    </row>
    <row r="164" spans="1:25" ht="21" customHeight="1">
      <c r="A164" s="101" t="s">
        <v>26</v>
      </c>
      <c r="B164" s="110">
        <f t="shared" ref="B164:H164" si="37">SUM(B188,B193,B197)</f>
        <v>905</v>
      </c>
      <c r="C164" s="110">
        <f t="shared" si="37"/>
        <v>734</v>
      </c>
      <c r="D164" s="110">
        <f t="shared" si="37"/>
        <v>597</v>
      </c>
      <c r="E164" s="110">
        <f t="shared" si="37"/>
        <v>463</v>
      </c>
      <c r="F164" s="110">
        <f t="shared" si="37"/>
        <v>42</v>
      </c>
      <c r="G164" s="110">
        <f t="shared" si="37"/>
        <v>0</v>
      </c>
      <c r="H164" s="110">
        <f t="shared" si="37"/>
        <v>0</v>
      </c>
      <c r="I164" s="110">
        <f>SUM(I188,I193,I197)</f>
        <v>2741</v>
      </c>
      <c r="J164" s="110">
        <f>SUM(J188,J193,J197)</f>
        <v>905</v>
      </c>
      <c r="K164" s="110">
        <f t="shared" ref="K164:Y164" si="38">SUM(K188,K193,K197)</f>
        <v>692</v>
      </c>
      <c r="L164" s="110">
        <f t="shared" si="38"/>
        <v>692</v>
      </c>
      <c r="M164" s="110">
        <f t="shared" si="38"/>
        <v>692</v>
      </c>
      <c r="N164" s="110">
        <f t="shared" si="38"/>
        <v>692</v>
      </c>
      <c r="O164" s="110">
        <f t="shared" si="38"/>
        <v>692</v>
      </c>
      <c r="P164" s="110">
        <f t="shared" si="38"/>
        <v>0</v>
      </c>
      <c r="Q164" s="110">
        <f t="shared" si="38"/>
        <v>0</v>
      </c>
      <c r="R164" s="110">
        <f t="shared" si="38"/>
        <v>0</v>
      </c>
      <c r="S164" s="110">
        <f t="shared" si="38"/>
        <v>0</v>
      </c>
      <c r="T164" s="110">
        <f t="shared" si="38"/>
        <v>0</v>
      </c>
      <c r="U164" s="110">
        <f t="shared" si="38"/>
        <v>0</v>
      </c>
      <c r="V164" s="110">
        <f t="shared" si="38"/>
        <v>0</v>
      </c>
      <c r="W164" s="110">
        <f t="shared" si="38"/>
        <v>0</v>
      </c>
      <c r="X164" s="110">
        <f t="shared" si="38"/>
        <v>0</v>
      </c>
      <c r="Y164" s="110">
        <f t="shared" si="38"/>
        <v>0</v>
      </c>
    </row>
    <row r="165" spans="1:25" ht="21" customHeight="1">
      <c r="A165" s="398" t="s">
        <v>239</v>
      </c>
      <c r="B165" s="398">
        <v>48</v>
      </c>
      <c r="C165" s="398">
        <v>33</v>
      </c>
      <c r="D165" s="675">
        <v>35</v>
      </c>
      <c r="E165" s="664">
        <v>29</v>
      </c>
      <c r="F165" s="664"/>
      <c r="G165" s="664"/>
      <c r="H165" s="664"/>
      <c r="I165" s="662">
        <f>SUM(B165:H165)</f>
        <v>145</v>
      </c>
      <c r="J165" s="662">
        <f t="shared" ref="J165:J177" si="39">B165</f>
        <v>48</v>
      </c>
      <c r="K165" s="664">
        <v>40</v>
      </c>
      <c r="L165" s="664">
        <v>40</v>
      </c>
      <c r="M165" s="664">
        <v>40</v>
      </c>
      <c r="N165" s="664">
        <v>40</v>
      </c>
      <c r="O165" s="664">
        <v>40</v>
      </c>
      <c r="P165" s="735"/>
      <c r="Q165" s="735"/>
      <c r="R165" s="735"/>
      <c r="S165" s="735"/>
      <c r="T165" s="735"/>
      <c r="U165" s="735"/>
      <c r="V165" s="735"/>
      <c r="W165" s="735"/>
      <c r="X165" s="735"/>
      <c r="Y165" s="735"/>
    </row>
    <row r="166" spans="1:25" ht="21" customHeight="1">
      <c r="A166" s="100" t="s">
        <v>79</v>
      </c>
      <c r="B166" s="100">
        <v>40</v>
      </c>
      <c r="C166" s="100">
        <v>32</v>
      </c>
      <c r="D166" s="124">
        <v>25</v>
      </c>
      <c r="E166" s="108">
        <v>26</v>
      </c>
      <c r="F166" s="108">
        <v>1</v>
      </c>
      <c r="G166" s="108"/>
      <c r="H166" s="108"/>
      <c r="I166" s="252">
        <f t="shared" ref="I166:I175" si="40">SUM(B166:H166)</f>
        <v>124</v>
      </c>
      <c r="J166" s="252">
        <f t="shared" si="39"/>
        <v>40</v>
      </c>
      <c r="K166" s="108">
        <v>40</v>
      </c>
      <c r="L166" s="108">
        <v>40</v>
      </c>
      <c r="M166" s="108">
        <v>40</v>
      </c>
      <c r="N166" s="108">
        <v>40</v>
      </c>
      <c r="O166" s="108">
        <v>40</v>
      </c>
      <c r="P166" s="691"/>
      <c r="Q166" s="691"/>
      <c r="R166" s="691"/>
      <c r="S166" s="691"/>
      <c r="T166" s="691"/>
      <c r="U166" s="691"/>
      <c r="V166" s="691"/>
      <c r="W166" s="691"/>
      <c r="X166" s="691"/>
      <c r="Y166" s="691"/>
    </row>
    <row r="167" spans="1:25" ht="21" customHeight="1">
      <c r="A167" s="100" t="s">
        <v>80</v>
      </c>
      <c r="B167" s="100">
        <v>193</v>
      </c>
      <c r="C167" s="100">
        <v>155</v>
      </c>
      <c r="D167" s="124">
        <v>193</v>
      </c>
      <c r="E167" s="108">
        <v>132</v>
      </c>
      <c r="F167" s="108">
        <v>13</v>
      </c>
      <c r="G167" s="108"/>
      <c r="H167" s="108"/>
      <c r="I167" s="252">
        <f t="shared" si="40"/>
        <v>686</v>
      </c>
      <c r="J167" s="252">
        <f t="shared" si="39"/>
        <v>193</v>
      </c>
      <c r="K167" s="108">
        <v>100</v>
      </c>
      <c r="L167" s="108">
        <v>100</v>
      </c>
      <c r="M167" s="108">
        <v>100</v>
      </c>
      <c r="N167" s="108">
        <v>100</v>
      </c>
      <c r="O167" s="108">
        <v>100</v>
      </c>
      <c r="P167" s="691"/>
      <c r="Q167" s="691"/>
      <c r="R167" s="691"/>
      <c r="S167" s="691"/>
      <c r="T167" s="691"/>
      <c r="U167" s="691"/>
      <c r="V167" s="691"/>
      <c r="W167" s="691"/>
      <c r="X167" s="691"/>
      <c r="Y167" s="691"/>
    </row>
    <row r="168" spans="1:25" ht="21" customHeight="1">
      <c r="A168" s="100" t="s">
        <v>314</v>
      </c>
      <c r="B168" s="100">
        <v>60</v>
      </c>
      <c r="C168" s="100">
        <v>46</v>
      </c>
      <c r="D168" s="124">
        <v>33</v>
      </c>
      <c r="E168" s="108">
        <v>35</v>
      </c>
      <c r="F168" s="108">
        <v>4</v>
      </c>
      <c r="G168" s="108"/>
      <c r="H168" s="108"/>
      <c r="I168" s="252">
        <f t="shared" si="40"/>
        <v>178</v>
      </c>
      <c r="J168" s="252">
        <f t="shared" si="39"/>
        <v>60</v>
      </c>
      <c r="K168" s="108">
        <v>50</v>
      </c>
      <c r="L168" s="108">
        <v>50</v>
      </c>
      <c r="M168" s="108">
        <v>50</v>
      </c>
      <c r="N168" s="108">
        <v>50</v>
      </c>
      <c r="O168" s="108">
        <v>50</v>
      </c>
      <c r="P168" s="691"/>
      <c r="Q168" s="691"/>
      <c r="R168" s="691"/>
      <c r="S168" s="691"/>
      <c r="T168" s="691"/>
      <c r="U168" s="691"/>
      <c r="V168" s="691"/>
      <c r="W168" s="691"/>
      <c r="X168" s="691"/>
      <c r="Y168" s="691"/>
    </row>
    <row r="169" spans="1:25" ht="21" customHeight="1">
      <c r="A169" s="100" t="s">
        <v>306</v>
      </c>
      <c r="B169" s="100">
        <v>39</v>
      </c>
      <c r="C169" s="100">
        <v>35</v>
      </c>
      <c r="D169" s="124"/>
      <c r="E169" s="108"/>
      <c r="F169" s="108"/>
      <c r="G169" s="108"/>
      <c r="H169" s="108"/>
      <c r="I169" s="252">
        <f t="shared" si="40"/>
        <v>74</v>
      </c>
      <c r="J169" s="252">
        <f t="shared" si="39"/>
        <v>39</v>
      </c>
      <c r="K169" s="108">
        <v>102</v>
      </c>
      <c r="L169" s="108">
        <v>102</v>
      </c>
      <c r="M169" s="108">
        <v>102</v>
      </c>
      <c r="N169" s="108">
        <v>102</v>
      </c>
      <c r="O169" s="108">
        <v>102</v>
      </c>
      <c r="P169" s="691"/>
      <c r="Q169" s="691"/>
      <c r="R169" s="691"/>
      <c r="S169" s="691"/>
      <c r="T169" s="691"/>
      <c r="U169" s="691"/>
      <c r="V169" s="691"/>
      <c r="W169" s="691"/>
      <c r="X169" s="691"/>
      <c r="Y169" s="691"/>
    </row>
    <row r="170" spans="1:25" ht="21" customHeight="1">
      <c r="A170" s="100" t="s">
        <v>31</v>
      </c>
      <c r="B170" s="100">
        <v>82</v>
      </c>
      <c r="C170" s="100">
        <v>70</v>
      </c>
      <c r="D170" s="124">
        <v>44</v>
      </c>
      <c r="E170" s="108">
        <v>53</v>
      </c>
      <c r="F170" s="108">
        <v>5</v>
      </c>
      <c r="G170" s="108"/>
      <c r="H170" s="108"/>
      <c r="I170" s="252">
        <f t="shared" si="40"/>
        <v>254</v>
      </c>
      <c r="J170" s="252">
        <f t="shared" si="39"/>
        <v>82</v>
      </c>
      <c r="K170" s="108">
        <v>50</v>
      </c>
      <c r="L170" s="108">
        <v>50</v>
      </c>
      <c r="M170" s="108">
        <v>50</v>
      </c>
      <c r="N170" s="108">
        <v>50</v>
      </c>
      <c r="O170" s="108">
        <v>50</v>
      </c>
      <c r="P170" s="691"/>
      <c r="Q170" s="691"/>
      <c r="R170" s="691"/>
      <c r="S170" s="691"/>
      <c r="T170" s="691"/>
      <c r="U170" s="691"/>
      <c r="V170" s="691"/>
      <c r="W170" s="691"/>
      <c r="X170" s="691"/>
      <c r="Y170" s="691"/>
    </row>
    <row r="171" spans="1:25" ht="21" customHeight="1">
      <c r="A171" s="100" t="s">
        <v>32</v>
      </c>
      <c r="B171" s="100"/>
      <c r="C171" s="100"/>
      <c r="D171" s="124">
        <v>41</v>
      </c>
      <c r="E171" s="108">
        <v>56</v>
      </c>
      <c r="F171" s="108">
        <v>1</v>
      </c>
      <c r="G171" s="108"/>
      <c r="H171" s="108"/>
      <c r="I171" s="252">
        <f t="shared" si="40"/>
        <v>98</v>
      </c>
      <c r="J171" s="252">
        <f t="shared" si="39"/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691"/>
      <c r="Q171" s="691"/>
      <c r="R171" s="691"/>
      <c r="S171" s="691"/>
      <c r="T171" s="691"/>
      <c r="U171" s="691"/>
      <c r="V171" s="691"/>
      <c r="W171" s="691"/>
      <c r="X171" s="691"/>
      <c r="Y171" s="691"/>
    </row>
    <row r="172" spans="1:25" ht="21" hidden="1" customHeight="1">
      <c r="A172" s="100" t="s">
        <v>117</v>
      </c>
      <c r="B172" s="100"/>
      <c r="C172" s="100"/>
      <c r="D172" s="124"/>
      <c r="E172" s="108"/>
      <c r="F172" s="108"/>
      <c r="G172" s="108"/>
      <c r="H172" s="108"/>
      <c r="I172" s="252">
        <f t="shared" si="40"/>
        <v>0</v>
      </c>
      <c r="J172" s="252">
        <f t="shared" si="39"/>
        <v>0</v>
      </c>
      <c r="K172" s="108"/>
      <c r="L172" s="108"/>
      <c r="M172" s="108"/>
      <c r="N172" s="108"/>
      <c r="O172" s="108"/>
      <c r="P172" s="691"/>
      <c r="Q172" s="691"/>
      <c r="R172" s="691"/>
      <c r="S172" s="691"/>
      <c r="T172" s="691"/>
      <c r="U172" s="691"/>
      <c r="V172" s="691"/>
      <c r="W172" s="691"/>
      <c r="X172" s="691"/>
      <c r="Y172" s="691"/>
    </row>
    <row r="173" spans="1:25" ht="21" customHeight="1">
      <c r="A173" s="100" t="s">
        <v>33</v>
      </c>
      <c r="B173" s="100"/>
      <c r="C173" s="100">
        <v>81</v>
      </c>
      <c r="D173" s="124">
        <v>28</v>
      </c>
      <c r="E173" s="108">
        <v>30</v>
      </c>
      <c r="F173" s="108">
        <v>10</v>
      </c>
      <c r="G173" s="108"/>
      <c r="H173" s="108"/>
      <c r="I173" s="252">
        <f t="shared" si="40"/>
        <v>149</v>
      </c>
      <c r="J173" s="252">
        <f t="shared" si="39"/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691"/>
      <c r="Q173" s="691"/>
      <c r="R173" s="691"/>
      <c r="S173" s="691"/>
      <c r="T173" s="691"/>
      <c r="U173" s="691"/>
      <c r="V173" s="691"/>
      <c r="W173" s="691"/>
      <c r="X173" s="691"/>
      <c r="Y173" s="691"/>
    </row>
    <row r="174" spans="1:25" ht="21" customHeight="1">
      <c r="A174" s="100" t="s">
        <v>133</v>
      </c>
      <c r="B174" s="100">
        <v>57</v>
      </c>
      <c r="C174" s="100">
        <v>43</v>
      </c>
      <c r="D174" s="262">
        <v>49</v>
      </c>
      <c r="E174" s="108">
        <v>31</v>
      </c>
      <c r="F174" s="108"/>
      <c r="G174" s="108"/>
      <c r="H174" s="108"/>
      <c r="I174" s="252">
        <f t="shared" si="40"/>
        <v>180</v>
      </c>
      <c r="J174" s="252">
        <f t="shared" si="39"/>
        <v>57</v>
      </c>
      <c r="K174" s="108">
        <v>70</v>
      </c>
      <c r="L174" s="108">
        <v>70</v>
      </c>
      <c r="M174" s="108">
        <v>70</v>
      </c>
      <c r="N174" s="108">
        <v>70</v>
      </c>
      <c r="O174" s="108">
        <v>70</v>
      </c>
      <c r="P174" s="691"/>
      <c r="Q174" s="691"/>
      <c r="R174" s="691"/>
      <c r="S174" s="691"/>
      <c r="T174" s="691"/>
      <c r="U174" s="691"/>
      <c r="V174" s="691"/>
      <c r="W174" s="691"/>
      <c r="X174" s="691"/>
      <c r="Y174" s="691"/>
    </row>
    <row r="175" spans="1:25" ht="21" customHeight="1">
      <c r="A175" s="100" t="s">
        <v>240</v>
      </c>
      <c r="B175" s="100">
        <v>143</v>
      </c>
      <c r="C175" s="100">
        <v>134</v>
      </c>
      <c r="D175" s="124">
        <v>82</v>
      </c>
      <c r="E175" s="108">
        <f>36+1</f>
        <v>37</v>
      </c>
      <c r="F175" s="108">
        <v>6</v>
      </c>
      <c r="G175" s="108"/>
      <c r="H175" s="108"/>
      <c r="I175" s="252">
        <f t="shared" si="40"/>
        <v>402</v>
      </c>
      <c r="J175" s="252">
        <f t="shared" si="39"/>
        <v>143</v>
      </c>
      <c r="K175" s="108">
        <v>120</v>
      </c>
      <c r="L175" s="108">
        <v>120</v>
      </c>
      <c r="M175" s="108">
        <v>120</v>
      </c>
      <c r="N175" s="108">
        <v>120</v>
      </c>
      <c r="O175" s="108">
        <v>120</v>
      </c>
      <c r="P175" s="691"/>
      <c r="Q175" s="691"/>
      <c r="R175" s="691"/>
      <c r="S175" s="691"/>
      <c r="T175" s="691"/>
      <c r="U175" s="691"/>
      <c r="V175" s="691"/>
      <c r="W175" s="691"/>
      <c r="X175" s="691"/>
      <c r="Y175" s="691"/>
    </row>
    <row r="176" spans="1:25" ht="21" customHeight="1">
      <c r="A176" s="100" t="s">
        <v>34</v>
      </c>
      <c r="B176" s="100">
        <v>128</v>
      </c>
      <c r="C176" s="100">
        <v>105</v>
      </c>
      <c r="D176" s="124">
        <v>67</v>
      </c>
      <c r="E176" s="108">
        <f>32+2</f>
        <v>34</v>
      </c>
      <c r="F176" s="108">
        <v>2</v>
      </c>
      <c r="G176" s="108"/>
      <c r="H176" s="108"/>
      <c r="I176" s="252">
        <f>SUM(B176:H176)</f>
        <v>336</v>
      </c>
      <c r="J176" s="252">
        <f t="shared" si="39"/>
        <v>128</v>
      </c>
      <c r="K176" s="108">
        <v>50</v>
      </c>
      <c r="L176" s="108">
        <v>50</v>
      </c>
      <c r="M176" s="108">
        <v>50</v>
      </c>
      <c r="N176" s="108">
        <v>50</v>
      </c>
      <c r="O176" s="108">
        <v>50</v>
      </c>
      <c r="P176" s="691"/>
      <c r="Q176" s="691"/>
      <c r="R176" s="691"/>
      <c r="S176" s="691"/>
      <c r="T176" s="691"/>
      <c r="U176" s="691"/>
      <c r="V176" s="691"/>
      <c r="W176" s="691"/>
      <c r="X176" s="691"/>
      <c r="Y176" s="691"/>
    </row>
    <row r="177" spans="1:25" ht="21" customHeight="1">
      <c r="A177" s="100" t="s">
        <v>344</v>
      </c>
      <c r="B177" s="100">
        <v>115</v>
      </c>
      <c r="C177" s="100"/>
      <c r="D177" s="124"/>
      <c r="E177" s="108"/>
      <c r="F177" s="108"/>
      <c r="G177" s="108"/>
      <c r="H177" s="108"/>
      <c r="I177" s="252">
        <f>SUM(B177:H177)</f>
        <v>115</v>
      </c>
      <c r="J177" s="252">
        <f t="shared" si="39"/>
        <v>115</v>
      </c>
      <c r="K177" s="108">
        <v>70</v>
      </c>
      <c r="L177" s="108">
        <v>70</v>
      </c>
      <c r="M177" s="108">
        <v>70</v>
      </c>
      <c r="N177" s="108">
        <v>70</v>
      </c>
      <c r="O177" s="108">
        <v>70</v>
      </c>
      <c r="P177" s="691"/>
      <c r="Q177" s="691"/>
      <c r="R177" s="691"/>
      <c r="S177" s="691"/>
      <c r="T177" s="691"/>
      <c r="U177" s="691"/>
      <c r="V177" s="691"/>
      <c r="W177" s="691"/>
      <c r="X177" s="691"/>
      <c r="Y177" s="691"/>
    </row>
    <row r="178" spans="1:25" ht="21" customHeight="1">
      <c r="A178" s="681" t="s">
        <v>396</v>
      </c>
      <c r="B178" s="100"/>
      <c r="C178" s="100"/>
      <c r="D178" s="124"/>
      <c r="E178" s="108"/>
      <c r="F178" s="108"/>
      <c r="G178" s="108"/>
      <c r="H178" s="108"/>
      <c r="I178" s="252"/>
      <c r="J178" s="252"/>
      <c r="K178" s="108"/>
      <c r="L178" s="108"/>
      <c r="M178" s="108"/>
      <c r="N178" s="108"/>
      <c r="O178" s="108"/>
      <c r="P178" s="691"/>
      <c r="Q178" s="691"/>
      <c r="R178" s="691"/>
      <c r="S178" s="691"/>
      <c r="T178" s="691"/>
      <c r="U178" s="691"/>
      <c r="V178" s="691"/>
      <c r="W178" s="691"/>
      <c r="X178" s="691"/>
      <c r="Y178" s="691"/>
    </row>
    <row r="179" spans="1:25" ht="21" customHeight="1">
      <c r="A179" s="681"/>
      <c r="B179" s="100"/>
      <c r="C179" s="100"/>
      <c r="D179" s="124"/>
      <c r="E179" s="108"/>
      <c r="F179" s="108"/>
      <c r="G179" s="108"/>
      <c r="H179" s="108"/>
      <c r="I179" s="252"/>
      <c r="J179" s="252"/>
      <c r="K179" s="108"/>
      <c r="L179" s="108"/>
      <c r="M179" s="108"/>
      <c r="N179" s="108"/>
      <c r="O179" s="108"/>
      <c r="P179" s="691"/>
      <c r="Q179" s="691"/>
      <c r="R179" s="691"/>
      <c r="S179" s="691"/>
      <c r="T179" s="691"/>
      <c r="U179" s="691"/>
      <c r="V179" s="691"/>
      <c r="W179" s="691"/>
      <c r="X179" s="691"/>
      <c r="Y179" s="691"/>
    </row>
    <row r="180" spans="1:25" ht="21" customHeight="1">
      <c r="A180" s="681"/>
      <c r="B180" s="100"/>
      <c r="C180" s="100"/>
      <c r="D180" s="124"/>
      <c r="E180" s="108"/>
      <c r="F180" s="108"/>
      <c r="G180" s="108"/>
      <c r="H180" s="108"/>
      <c r="I180" s="252"/>
      <c r="J180" s="252"/>
      <c r="K180" s="108"/>
      <c r="L180" s="108"/>
      <c r="M180" s="108"/>
      <c r="N180" s="108"/>
      <c r="O180" s="108"/>
      <c r="P180" s="691"/>
      <c r="Q180" s="691"/>
      <c r="R180" s="691"/>
      <c r="S180" s="691"/>
      <c r="T180" s="691"/>
      <c r="U180" s="691"/>
      <c r="V180" s="691"/>
      <c r="W180" s="691"/>
      <c r="X180" s="691"/>
      <c r="Y180" s="691"/>
    </row>
    <row r="181" spans="1:25" ht="21" customHeight="1">
      <c r="A181" s="681"/>
      <c r="B181" s="100"/>
      <c r="C181" s="100"/>
      <c r="D181" s="124"/>
      <c r="E181" s="108"/>
      <c r="F181" s="108"/>
      <c r="G181" s="108"/>
      <c r="H181" s="108"/>
      <c r="I181" s="252"/>
      <c r="J181" s="252"/>
      <c r="K181" s="108"/>
      <c r="L181" s="108"/>
      <c r="M181" s="108"/>
      <c r="N181" s="108"/>
      <c r="O181" s="108"/>
      <c r="P181" s="691"/>
      <c r="Q181" s="691"/>
      <c r="R181" s="691"/>
      <c r="S181" s="691"/>
      <c r="T181" s="691"/>
      <c r="U181" s="691"/>
      <c r="V181" s="691"/>
      <c r="W181" s="691"/>
      <c r="X181" s="691"/>
      <c r="Y181" s="691"/>
    </row>
    <row r="182" spans="1:25" ht="21" customHeight="1">
      <c r="A182" s="681"/>
      <c r="B182" s="100"/>
      <c r="C182" s="100"/>
      <c r="D182" s="124"/>
      <c r="E182" s="108"/>
      <c r="F182" s="108"/>
      <c r="G182" s="108"/>
      <c r="H182" s="108"/>
      <c r="I182" s="252"/>
      <c r="J182" s="252"/>
      <c r="K182" s="108"/>
      <c r="L182" s="108"/>
      <c r="M182" s="108"/>
      <c r="N182" s="108"/>
      <c r="O182" s="108"/>
      <c r="P182" s="691"/>
      <c r="Q182" s="691"/>
      <c r="R182" s="691"/>
      <c r="S182" s="691"/>
      <c r="T182" s="691"/>
      <c r="U182" s="691"/>
      <c r="V182" s="691"/>
      <c r="W182" s="691"/>
      <c r="X182" s="691"/>
      <c r="Y182" s="691"/>
    </row>
    <row r="183" spans="1:25" ht="21" customHeight="1">
      <c r="A183" s="681"/>
      <c r="B183" s="100"/>
      <c r="C183" s="100"/>
      <c r="D183" s="124"/>
      <c r="E183" s="108"/>
      <c r="F183" s="108"/>
      <c r="G183" s="108"/>
      <c r="H183" s="108"/>
      <c r="I183" s="252"/>
      <c r="J183" s="252"/>
      <c r="K183" s="108"/>
      <c r="L183" s="108"/>
      <c r="M183" s="108"/>
      <c r="N183" s="108"/>
      <c r="O183" s="108"/>
      <c r="P183" s="691"/>
      <c r="Q183" s="691"/>
      <c r="R183" s="691"/>
      <c r="S183" s="691"/>
      <c r="T183" s="691"/>
      <c r="U183" s="691"/>
      <c r="V183" s="691"/>
      <c r="W183" s="691"/>
      <c r="X183" s="691"/>
      <c r="Y183" s="691"/>
    </row>
    <row r="184" spans="1:25" ht="21" customHeight="1">
      <c r="A184" s="100"/>
      <c r="B184" s="100"/>
      <c r="C184" s="100"/>
      <c r="D184" s="124"/>
      <c r="E184" s="108"/>
      <c r="F184" s="108"/>
      <c r="G184" s="108"/>
      <c r="H184" s="108"/>
      <c r="I184" s="252"/>
      <c r="J184" s="252"/>
      <c r="K184" s="108"/>
      <c r="L184" s="108"/>
      <c r="M184" s="108"/>
      <c r="N184" s="108"/>
      <c r="O184" s="108"/>
      <c r="P184" s="691"/>
      <c r="Q184" s="691"/>
      <c r="R184" s="691"/>
      <c r="S184" s="691"/>
      <c r="T184" s="691"/>
      <c r="U184" s="691"/>
      <c r="V184" s="691"/>
      <c r="W184" s="691"/>
      <c r="X184" s="691"/>
      <c r="Y184" s="691"/>
    </row>
    <row r="185" spans="1:25" ht="21" customHeight="1">
      <c r="A185" s="100"/>
      <c r="B185" s="100"/>
      <c r="C185" s="100"/>
      <c r="D185" s="124"/>
      <c r="E185" s="108"/>
      <c r="F185" s="108"/>
      <c r="G185" s="108"/>
      <c r="H185" s="108"/>
      <c r="I185" s="252"/>
      <c r="J185" s="252"/>
      <c r="K185" s="108"/>
      <c r="L185" s="108"/>
      <c r="M185" s="108"/>
      <c r="N185" s="108"/>
      <c r="O185" s="108"/>
      <c r="P185" s="691"/>
      <c r="Q185" s="691"/>
      <c r="R185" s="691"/>
      <c r="S185" s="691"/>
      <c r="T185" s="691"/>
      <c r="U185" s="691"/>
      <c r="V185" s="691"/>
      <c r="W185" s="691"/>
      <c r="X185" s="691"/>
      <c r="Y185" s="691"/>
    </row>
    <row r="186" spans="1:25" ht="21" customHeight="1">
      <c r="A186" s="100"/>
      <c r="B186" s="100"/>
      <c r="C186" s="100"/>
      <c r="D186" s="124"/>
      <c r="E186" s="108"/>
      <c r="F186" s="108"/>
      <c r="G186" s="108"/>
      <c r="H186" s="108"/>
      <c r="I186" s="252"/>
      <c r="J186" s="252"/>
      <c r="K186" s="108"/>
      <c r="L186" s="108"/>
      <c r="M186" s="108"/>
      <c r="N186" s="108"/>
      <c r="O186" s="108"/>
      <c r="P186" s="691"/>
      <c r="Q186" s="691"/>
      <c r="R186" s="691"/>
      <c r="S186" s="691"/>
      <c r="T186" s="691"/>
      <c r="U186" s="691"/>
      <c r="V186" s="691"/>
      <c r="W186" s="691"/>
      <c r="X186" s="691"/>
      <c r="Y186" s="691"/>
    </row>
    <row r="187" spans="1:25" ht="21" customHeight="1">
      <c r="A187" s="401"/>
      <c r="B187" s="401"/>
      <c r="C187" s="401"/>
      <c r="D187" s="677"/>
      <c r="E187" s="670"/>
      <c r="F187" s="670"/>
      <c r="G187" s="670"/>
      <c r="H187" s="670"/>
      <c r="I187" s="668"/>
      <c r="J187" s="668"/>
      <c r="K187" s="670"/>
      <c r="L187" s="670"/>
      <c r="M187" s="670"/>
      <c r="N187" s="670"/>
      <c r="O187" s="670"/>
      <c r="P187" s="754"/>
      <c r="Q187" s="754"/>
      <c r="R187" s="754"/>
      <c r="S187" s="754"/>
      <c r="T187" s="754"/>
      <c r="U187" s="754"/>
      <c r="V187" s="754"/>
      <c r="W187" s="754"/>
      <c r="X187" s="754"/>
      <c r="Y187" s="754"/>
    </row>
    <row r="188" spans="1:25" ht="21" customHeight="1">
      <c r="A188" s="118" t="s">
        <v>161</v>
      </c>
      <c r="B188" s="110">
        <f t="shared" ref="B188:G188" si="41">SUM(B165:B177)</f>
        <v>905</v>
      </c>
      <c r="C188" s="110">
        <f t="shared" si="41"/>
        <v>734</v>
      </c>
      <c r="D188" s="110">
        <f t="shared" si="41"/>
        <v>597</v>
      </c>
      <c r="E188" s="110">
        <f t="shared" si="41"/>
        <v>463</v>
      </c>
      <c r="F188" s="110">
        <f t="shared" si="41"/>
        <v>42</v>
      </c>
      <c r="G188" s="110">
        <f t="shared" si="41"/>
        <v>0</v>
      </c>
      <c r="H188" s="110">
        <f>SUM(H165:H176)</f>
        <v>0</v>
      </c>
      <c r="I188" s="110">
        <f>SUM(I165:I177)</f>
        <v>2741</v>
      </c>
      <c r="J188" s="110">
        <f>SUM(J165:J177)</f>
        <v>905</v>
      </c>
      <c r="K188" s="110">
        <f t="shared" ref="K188:Y188" si="42">SUM(K165:K177)</f>
        <v>692</v>
      </c>
      <c r="L188" s="110">
        <f t="shared" si="42"/>
        <v>692</v>
      </c>
      <c r="M188" s="110">
        <f t="shared" si="42"/>
        <v>692</v>
      </c>
      <c r="N188" s="110">
        <f t="shared" si="42"/>
        <v>692</v>
      </c>
      <c r="O188" s="110">
        <f t="shared" si="42"/>
        <v>692</v>
      </c>
      <c r="P188" s="110">
        <f t="shared" si="42"/>
        <v>0</v>
      </c>
      <c r="Q188" s="110">
        <f t="shared" si="42"/>
        <v>0</v>
      </c>
      <c r="R188" s="110">
        <f t="shared" si="42"/>
        <v>0</v>
      </c>
      <c r="S188" s="110">
        <f t="shared" si="42"/>
        <v>0</v>
      </c>
      <c r="T188" s="110">
        <f t="shared" si="42"/>
        <v>0</v>
      </c>
      <c r="U188" s="110">
        <f t="shared" si="42"/>
        <v>0</v>
      </c>
      <c r="V188" s="110">
        <f t="shared" si="42"/>
        <v>0</v>
      </c>
      <c r="W188" s="110">
        <f t="shared" si="42"/>
        <v>0</v>
      </c>
      <c r="X188" s="110">
        <f t="shared" si="42"/>
        <v>0</v>
      </c>
      <c r="Y188" s="110">
        <f t="shared" si="42"/>
        <v>0</v>
      </c>
    </row>
    <row r="189" spans="1:25" ht="21" hidden="1" customHeight="1">
      <c r="A189" s="99" t="s">
        <v>154</v>
      </c>
      <c r="B189" s="99"/>
      <c r="C189" s="99"/>
      <c r="D189" s="123"/>
      <c r="E189" s="109"/>
      <c r="F189" s="109"/>
      <c r="G189" s="109"/>
      <c r="H189" s="109"/>
      <c r="I189" s="109">
        <f>SUM(C189:H189)</f>
        <v>0</v>
      </c>
      <c r="J189" s="161"/>
      <c r="K189" s="161"/>
      <c r="L189" s="161"/>
      <c r="M189" s="161"/>
      <c r="N189" s="161"/>
      <c r="O189" s="161"/>
    </row>
    <row r="190" spans="1:25" ht="21" hidden="1" customHeight="1">
      <c r="A190" s="100" t="s">
        <v>28</v>
      </c>
      <c r="B190" s="100"/>
      <c r="C190" s="100"/>
      <c r="D190" s="124"/>
      <c r="E190" s="108"/>
      <c r="F190" s="108"/>
      <c r="G190" s="108"/>
      <c r="H190" s="108"/>
      <c r="I190" s="252">
        <f>SUM(B190:H190)</f>
        <v>0</v>
      </c>
      <c r="J190" s="161"/>
      <c r="K190" s="161"/>
      <c r="L190" s="161"/>
      <c r="M190" s="161"/>
      <c r="N190" s="161"/>
      <c r="O190" s="161"/>
    </row>
    <row r="191" spans="1:25" ht="21" hidden="1" customHeight="1">
      <c r="A191" s="100" t="s">
        <v>241</v>
      </c>
      <c r="B191" s="100"/>
      <c r="C191" s="100"/>
      <c r="D191" s="124"/>
      <c r="E191" s="108"/>
      <c r="F191" s="108"/>
      <c r="G191" s="108"/>
      <c r="H191" s="108"/>
      <c r="I191" s="108">
        <f>SUM(D191:H191)</f>
        <v>0</v>
      </c>
      <c r="J191" s="161"/>
      <c r="K191" s="161"/>
      <c r="L191" s="161"/>
      <c r="M191" s="161"/>
      <c r="N191" s="161"/>
      <c r="O191" s="161"/>
    </row>
    <row r="192" spans="1:25" ht="21" hidden="1" customHeight="1">
      <c r="A192" s="103" t="s">
        <v>35</v>
      </c>
      <c r="B192" s="103"/>
      <c r="C192" s="103"/>
      <c r="D192" s="125"/>
      <c r="E192" s="111"/>
      <c r="F192" s="111"/>
      <c r="G192" s="111"/>
      <c r="H192" s="111"/>
      <c r="I192" s="254">
        <f>SUM(B192:H192)</f>
        <v>0</v>
      </c>
      <c r="J192" s="161"/>
      <c r="K192" s="161"/>
      <c r="L192" s="161"/>
      <c r="M192" s="161"/>
      <c r="N192" s="161"/>
      <c r="O192" s="161"/>
    </row>
    <row r="193" spans="1:15" ht="21" hidden="1" customHeight="1">
      <c r="A193" s="95" t="s">
        <v>162</v>
      </c>
      <c r="B193" s="106">
        <f t="shared" ref="B193:I193" si="43">SUM(B189:B192)</f>
        <v>0</v>
      </c>
      <c r="C193" s="106">
        <f t="shared" si="43"/>
        <v>0</v>
      </c>
      <c r="D193" s="106">
        <f t="shared" si="43"/>
        <v>0</v>
      </c>
      <c r="E193" s="106">
        <f t="shared" si="43"/>
        <v>0</v>
      </c>
      <c r="F193" s="106">
        <f t="shared" si="43"/>
        <v>0</v>
      </c>
      <c r="G193" s="106">
        <f t="shared" si="43"/>
        <v>0</v>
      </c>
      <c r="H193" s="106">
        <f t="shared" si="43"/>
        <v>0</v>
      </c>
      <c r="I193" s="106">
        <f t="shared" si="43"/>
        <v>0</v>
      </c>
      <c r="J193" s="160"/>
      <c r="K193" s="160"/>
      <c r="L193" s="160"/>
      <c r="M193" s="160"/>
      <c r="N193" s="160"/>
      <c r="O193" s="160"/>
    </row>
    <row r="194" spans="1:15" ht="21" hidden="1" customHeight="1">
      <c r="A194" s="99" t="s">
        <v>48</v>
      </c>
      <c r="B194" s="99"/>
      <c r="C194" s="99"/>
      <c r="D194" s="123"/>
      <c r="E194" s="109"/>
      <c r="F194" s="109"/>
      <c r="G194" s="109"/>
      <c r="H194" s="109"/>
      <c r="I194" s="109"/>
      <c r="J194" s="161"/>
      <c r="K194" s="161"/>
      <c r="L194" s="161"/>
      <c r="M194" s="161"/>
      <c r="N194" s="161"/>
      <c r="O194" s="161"/>
    </row>
    <row r="195" spans="1:15" ht="21" hidden="1" customHeight="1">
      <c r="A195" s="100" t="s">
        <v>108</v>
      </c>
      <c r="B195" s="100"/>
      <c r="C195" s="100"/>
      <c r="D195" s="124"/>
      <c r="E195" s="108"/>
      <c r="F195" s="108"/>
      <c r="G195" s="108"/>
      <c r="H195" s="108"/>
      <c r="I195" s="252">
        <f>SUM(B195:H195)</f>
        <v>0</v>
      </c>
      <c r="J195" s="161"/>
      <c r="K195" s="161"/>
      <c r="L195" s="161"/>
      <c r="M195" s="161"/>
      <c r="N195" s="161"/>
      <c r="O195" s="161"/>
    </row>
    <row r="196" spans="1:15" ht="21" hidden="1" customHeight="1">
      <c r="A196" s="103"/>
      <c r="B196" s="103"/>
      <c r="C196" s="103"/>
      <c r="D196" s="125"/>
      <c r="E196" s="111"/>
      <c r="F196" s="111"/>
      <c r="G196" s="111"/>
      <c r="H196" s="111"/>
      <c r="I196" s="111"/>
      <c r="J196" s="161"/>
      <c r="K196" s="161"/>
      <c r="L196" s="161"/>
      <c r="M196" s="161"/>
      <c r="N196" s="161"/>
      <c r="O196" s="161"/>
    </row>
    <row r="197" spans="1:15" ht="21" hidden="1" customHeight="1">
      <c r="A197" s="95" t="s">
        <v>3</v>
      </c>
      <c r="B197" s="106">
        <f t="shared" ref="B197:I197" si="44">SUM(B195:B196)</f>
        <v>0</v>
      </c>
      <c r="C197" s="106">
        <f t="shared" si="44"/>
        <v>0</v>
      </c>
      <c r="D197" s="106">
        <f t="shared" si="44"/>
        <v>0</v>
      </c>
      <c r="E197" s="106">
        <f t="shared" si="44"/>
        <v>0</v>
      </c>
      <c r="F197" s="106">
        <f t="shared" si="44"/>
        <v>0</v>
      </c>
      <c r="G197" s="106">
        <f t="shared" si="44"/>
        <v>0</v>
      </c>
      <c r="H197" s="106">
        <f t="shared" si="44"/>
        <v>0</v>
      </c>
      <c r="I197" s="106">
        <f t="shared" si="44"/>
        <v>0</v>
      </c>
      <c r="J197" s="160"/>
      <c r="K197" s="160"/>
      <c r="L197" s="160"/>
      <c r="M197" s="160"/>
      <c r="N197" s="160"/>
      <c r="O197" s="160"/>
    </row>
    <row r="198" spans="1:15" ht="21" customHeight="1">
      <c r="A198" s="279" t="s">
        <v>36</v>
      </c>
      <c r="B198" s="280" t="e">
        <f t="shared" ref="B198:I198" si="45">SUM(B5,B37,B68,B108,B142,B164)</f>
        <v>#REF!</v>
      </c>
      <c r="C198" s="280" t="e">
        <f t="shared" si="45"/>
        <v>#REF!</v>
      </c>
      <c r="D198" s="280" t="e">
        <f t="shared" si="45"/>
        <v>#REF!</v>
      </c>
      <c r="E198" s="280" t="e">
        <f t="shared" si="45"/>
        <v>#REF!</v>
      </c>
      <c r="F198" s="280" t="e">
        <f t="shared" si="45"/>
        <v>#REF!</v>
      </c>
      <c r="G198" s="280" t="e">
        <f t="shared" si="45"/>
        <v>#REF!</v>
      </c>
      <c r="H198" s="280" t="e">
        <f t="shared" si="45"/>
        <v>#REF!</v>
      </c>
      <c r="I198" s="280">
        <f t="shared" si="45"/>
        <v>11077</v>
      </c>
      <c r="J198" s="162"/>
      <c r="K198" s="162"/>
      <c r="L198" s="162"/>
      <c r="M198" s="162"/>
      <c r="N198" s="162"/>
      <c r="O198" s="162"/>
    </row>
    <row r="199" spans="1:15" ht="21" hidden="1" customHeight="1">
      <c r="E199" s="112">
        <f>3685</f>
        <v>3685</v>
      </c>
      <c r="F199" s="112">
        <v>3141</v>
      </c>
      <c r="G199" s="112">
        <v>2290</v>
      </c>
      <c r="H199" s="112">
        <v>2290</v>
      </c>
    </row>
    <row r="200" spans="1:15" ht="21" hidden="1" customHeight="1">
      <c r="E200" s="112">
        <f>6+5</f>
        <v>11</v>
      </c>
      <c r="F200" s="112">
        <f>19+9+4</f>
        <v>32</v>
      </c>
      <c r="G200" s="112">
        <f>3+3+8</f>
        <v>14</v>
      </c>
      <c r="H200" s="112">
        <f>3+3+8</f>
        <v>14</v>
      </c>
    </row>
    <row r="201" spans="1:15" ht="21" hidden="1" customHeight="1">
      <c r="E201" s="112">
        <f>SUM(E199:E200)</f>
        <v>3696</v>
      </c>
      <c r="F201" s="112">
        <f>SUM(F199:F200)</f>
        <v>3173</v>
      </c>
      <c r="G201" s="112">
        <f>SUM(G199:G200)</f>
        <v>2304</v>
      </c>
      <c r="H201" s="112">
        <f>SUM(H199:H200)</f>
        <v>2304</v>
      </c>
      <c r="I201" s="112">
        <f>SUM(I199:I200)</f>
        <v>0</v>
      </c>
    </row>
    <row r="202" spans="1:15" ht="21" hidden="1" customHeight="1">
      <c r="E202" s="180" t="s">
        <v>132</v>
      </c>
      <c r="F202" s="180" t="s">
        <v>99</v>
      </c>
      <c r="G202" s="180" t="s">
        <v>84</v>
      </c>
      <c r="H202" s="180" t="s">
        <v>84</v>
      </c>
    </row>
    <row r="203" spans="1:15" ht="21" hidden="1" customHeight="1">
      <c r="A203" s="126" t="s">
        <v>66</v>
      </c>
      <c r="B203" s="126"/>
      <c r="C203" s="126"/>
      <c r="E203" s="112" t="e">
        <f>E198-(6+5)</f>
        <v>#REF!</v>
      </c>
    </row>
    <row r="204" spans="1:15" s="112" customFormat="1" ht="21" hidden="1" customHeight="1">
      <c r="A204" s="126" t="s">
        <v>51</v>
      </c>
      <c r="B204" s="126"/>
      <c r="C204" s="126"/>
      <c r="D204" s="126"/>
      <c r="E204" s="112" t="e">
        <f>E28+E67+#REF!</f>
        <v>#REF!</v>
      </c>
      <c r="F204" s="112" t="e">
        <f>F28+F67+#REF!</f>
        <v>#REF!</v>
      </c>
      <c r="G204" s="112" t="e">
        <f>G28+G67+#REF!</f>
        <v>#REF!</v>
      </c>
      <c r="H204" s="112" t="e">
        <f>H28+H67+#REF!</f>
        <v>#REF!</v>
      </c>
    </row>
    <row r="205" spans="1:15" s="112" customFormat="1" ht="21" hidden="1" customHeight="1">
      <c r="A205" s="126" t="s">
        <v>134</v>
      </c>
      <c r="B205" s="126"/>
      <c r="C205" s="126"/>
      <c r="D205" s="126"/>
      <c r="E205" s="112">
        <f>E36</f>
        <v>0</v>
      </c>
    </row>
    <row r="207" spans="1:15" s="112" customFormat="1" ht="21" customHeight="1">
      <c r="A207" s="851" t="s">
        <v>353</v>
      </c>
      <c r="B207" s="852"/>
      <c r="C207" s="852"/>
      <c r="D207" s="869"/>
      <c r="E207" s="596" t="s">
        <v>155</v>
      </c>
      <c r="F207" s="596" t="s">
        <v>156</v>
      </c>
      <c r="G207" s="596" t="s">
        <v>3</v>
      </c>
      <c r="H207" s="596" t="s">
        <v>3</v>
      </c>
      <c r="I207" s="597"/>
    </row>
    <row r="208" spans="1:15" s="112" customFormat="1" ht="21" customHeight="1">
      <c r="A208" s="653" t="s">
        <v>39</v>
      </c>
      <c r="B208" s="552"/>
      <c r="C208" s="552"/>
      <c r="D208" s="553"/>
      <c r="E208" s="598">
        <f>I25</f>
        <v>2504</v>
      </c>
      <c r="F208" s="598"/>
      <c r="G208" s="598">
        <f t="shared" ref="G208:H212" si="46">SUM(D208:E208)</f>
        <v>2504</v>
      </c>
      <c r="H208" s="598">
        <f t="shared" si="46"/>
        <v>2504</v>
      </c>
      <c r="I208" s="625">
        <f>H208+H209+H210</f>
        <v>11042</v>
      </c>
    </row>
    <row r="209" spans="1:9" s="112" customFormat="1" ht="21" customHeight="1">
      <c r="A209" s="653" t="s">
        <v>149</v>
      </c>
      <c r="B209" s="552"/>
      <c r="C209" s="552"/>
      <c r="D209" s="553"/>
      <c r="E209" s="598">
        <f>I163+I188</f>
        <v>4996</v>
      </c>
      <c r="F209" s="598">
        <f>I56+I92+I108</f>
        <v>3477</v>
      </c>
      <c r="G209" s="598">
        <f t="shared" si="46"/>
        <v>4996</v>
      </c>
      <c r="H209" s="598">
        <f t="shared" si="46"/>
        <v>8473</v>
      </c>
      <c r="I209" s="599"/>
    </row>
    <row r="210" spans="1:9" s="112" customFormat="1" ht="21" customHeight="1">
      <c r="A210" s="653" t="s">
        <v>41</v>
      </c>
      <c r="B210" s="552"/>
      <c r="C210" s="552"/>
      <c r="D210" s="553"/>
      <c r="E210" s="598">
        <f>I193</f>
        <v>0</v>
      </c>
      <c r="F210" s="598">
        <f>I107</f>
        <v>65</v>
      </c>
      <c r="G210" s="598">
        <f t="shared" si="46"/>
        <v>0</v>
      </c>
      <c r="H210" s="598">
        <f t="shared" si="46"/>
        <v>65</v>
      </c>
      <c r="I210" s="599"/>
    </row>
    <row r="211" spans="1:9" s="112" customFormat="1" ht="21" customHeight="1">
      <c r="A211" s="653" t="s">
        <v>150</v>
      </c>
      <c r="B211" s="552"/>
      <c r="C211" s="552"/>
      <c r="D211" s="553"/>
      <c r="E211" s="554">
        <f>I197</f>
        <v>0</v>
      </c>
      <c r="F211" s="554" t="e">
        <f>I62+#REF!</f>
        <v>#REF!</v>
      </c>
      <c r="G211" s="554">
        <f t="shared" si="46"/>
        <v>0</v>
      </c>
      <c r="H211" s="554" t="e">
        <f t="shared" si="46"/>
        <v>#REF!</v>
      </c>
      <c r="I211" s="600" t="e">
        <f>H211</f>
        <v>#REF!</v>
      </c>
    </row>
    <row r="212" spans="1:9" s="112" customFormat="1" ht="21" customHeight="1">
      <c r="A212" s="653" t="s">
        <v>151</v>
      </c>
      <c r="B212" s="552"/>
      <c r="C212" s="552"/>
      <c r="D212" s="553"/>
      <c r="E212" s="554">
        <f>I36</f>
        <v>15</v>
      </c>
      <c r="F212" s="554">
        <f>I67</f>
        <v>8</v>
      </c>
      <c r="G212" s="554">
        <f t="shared" si="46"/>
        <v>15</v>
      </c>
      <c r="H212" s="554">
        <f t="shared" si="46"/>
        <v>23</v>
      </c>
      <c r="I212" s="600">
        <f>H212</f>
        <v>23</v>
      </c>
    </row>
    <row r="213" spans="1:9" s="112" customFormat="1" ht="21" customHeight="1">
      <c r="A213" s="654"/>
      <c r="B213" s="555"/>
      <c r="C213" s="555"/>
      <c r="D213" s="556"/>
      <c r="E213" s="744">
        <f>SUM(E208:E212)</f>
        <v>7515</v>
      </c>
      <c r="F213" s="744" t="e">
        <f>SUM(F208:F212)</f>
        <v>#REF!</v>
      </c>
      <c r="G213" s="744"/>
      <c r="H213" s="870" t="e">
        <f>E213+F213</f>
        <v>#REF!</v>
      </c>
      <c r="I213" s="871"/>
    </row>
    <row r="214" spans="1:9" s="112" customFormat="1" ht="21" customHeight="1">
      <c r="A214" s="93"/>
      <c r="B214" s="93"/>
      <c r="C214" s="93"/>
      <c r="D214" s="126"/>
    </row>
    <row r="215" spans="1:9" s="112" customFormat="1" ht="21" customHeight="1">
      <c r="A215" s="93"/>
      <c r="B215" s="93"/>
      <c r="C215" s="93"/>
      <c r="D215" s="126"/>
    </row>
    <row r="216" spans="1:9" s="112" customFormat="1" ht="21" customHeight="1">
      <c r="A216" s="93"/>
      <c r="B216" s="93"/>
      <c r="C216" s="93"/>
      <c r="D216" s="126"/>
      <c r="E216" s="112">
        <f>9289+2777</f>
        <v>12066</v>
      </c>
    </row>
    <row r="217" spans="1:9" s="112" customFormat="1" ht="21" customHeight="1">
      <c r="A217" s="93"/>
      <c r="B217" s="93"/>
      <c r="C217" s="93"/>
      <c r="D217" s="126"/>
    </row>
  </sheetData>
  <mergeCells count="8">
    <mergeCell ref="A207:D207"/>
    <mergeCell ref="H213:I213"/>
    <mergeCell ref="K3:Y3"/>
    <mergeCell ref="A1:Y1"/>
    <mergeCell ref="A2:I2"/>
    <mergeCell ref="A3:A4"/>
    <mergeCell ref="I3:I4"/>
    <mergeCell ref="J3:J4"/>
  </mergeCells>
  <printOptions horizontalCentered="1"/>
  <pageMargins left="0.39370078740157483" right="0.39370078740157483" top="0.47244094488188981" bottom="0.31496062992125984" header="0.78740157480314965" footer="0.19685039370078741"/>
  <pageSetup paperSize="9" scale="80" orientation="landscape" r:id="rId1"/>
  <headerFooter alignWithMargins="0"/>
  <rowBreaks count="5" manualBreakCount="5">
    <brk id="36" max="24" man="1"/>
    <brk id="67" max="24" man="1"/>
    <brk id="107" max="24" man="1"/>
    <brk id="141" max="24" man="1"/>
    <brk id="163" max="24" man="1"/>
  </rowBreaks>
  <ignoredErrors>
    <ignoredError sqref="Y4 K4:X4" numberStoredAsText="1"/>
    <ignoredError sqref="I5:O5 P5:Y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J118"/>
  <sheetViews>
    <sheetView view="pageBreakPreview" zoomScale="110" zoomScaleNormal="110" zoomScaleSheetLayoutView="110" workbookViewId="0">
      <pane xSplit="1" ySplit="5" topLeftCell="J24" activePane="bottomRight" state="frozen"/>
      <selection pane="topRight" activeCell="B1" sqref="B1"/>
      <selection pane="bottomLeft" activeCell="A3" sqref="A3"/>
      <selection pane="bottomRight" activeCell="A41" sqref="A41"/>
    </sheetView>
  </sheetViews>
  <sheetFormatPr defaultRowHeight="21"/>
  <cols>
    <col min="1" max="1" width="61.4257812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customWidth="1"/>
    <col min="11" max="16" width="0" style="421" hidden="1" customWidth="1"/>
    <col min="17" max="17" width="8.5703125" style="421" hidden="1" customWidth="1"/>
    <col min="18" max="18" width="12.28515625" style="421" customWidth="1"/>
    <col min="19" max="23" width="8.5703125" style="93" customWidth="1"/>
    <col min="24" max="24" width="26.42578125" style="93" hidden="1" customWidth="1"/>
    <col min="25" max="27" width="8.5703125" style="93" hidden="1" customWidth="1"/>
    <col min="28" max="35" width="0" style="93" hidden="1" customWidth="1"/>
    <col min="36" max="16384" width="9.140625" style="93"/>
  </cols>
  <sheetData>
    <row r="1" spans="1:35">
      <c r="A1" s="787" t="s">
        <v>398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684"/>
      <c r="Y1" s="684"/>
      <c r="Z1" s="684"/>
      <c r="AA1" s="684"/>
    </row>
    <row r="2" spans="1:35">
      <c r="A2" s="684"/>
      <c r="B2" s="684"/>
      <c r="C2" s="707"/>
      <c r="D2" s="707"/>
      <c r="E2" s="707"/>
      <c r="F2" s="707"/>
      <c r="G2" s="707"/>
      <c r="H2" s="707"/>
      <c r="I2" s="707"/>
      <c r="J2" s="160"/>
      <c r="K2" s="160"/>
      <c r="L2" s="160"/>
      <c r="M2" s="160"/>
      <c r="N2" s="160"/>
      <c r="O2" s="160"/>
      <c r="P2" s="160"/>
      <c r="Q2" s="160"/>
      <c r="R2" s="160"/>
      <c r="S2" s="684"/>
      <c r="T2" s="684"/>
      <c r="U2" s="684"/>
      <c r="V2" s="684"/>
      <c r="W2" s="684"/>
      <c r="X2" s="684"/>
      <c r="Y2" s="684"/>
      <c r="Z2" s="684"/>
      <c r="AA2" s="684"/>
    </row>
    <row r="3" spans="1:35">
      <c r="A3" s="878" t="s">
        <v>0</v>
      </c>
      <c r="B3" s="622"/>
      <c r="C3" s="877" t="s">
        <v>131</v>
      </c>
      <c r="D3" s="877"/>
      <c r="E3" s="877"/>
      <c r="F3" s="877"/>
      <c r="G3" s="877"/>
      <c r="H3" s="877"/>
      <c r="I3" s="877"/>
      <c r="J3" s="879" t="s">
        <v>355</v>
      </c>
      <c r="K3" s="705"/>
      <c r="L3" s="705"/>
      <c r="M3" s="705"/>
      <c r="N3" s="705"/>
      <c r="O3" s="705"/>
      <c r="P3" s="705"/>
      <c r="Q3" s="705"/>
      <c r="R3" s="882" t="s">
        <v>363</v>
      </c>
      <c r="S3" s="877" t="s">
        <v>361</v>
      </c>
      <c r="T3" s="877"/>
      <c r="U3" s="877"/>
      <c r="V3" s="877"/>
      <c r="W3" s="877"/>
    </row>
    <row r="4" spans="1:35">
      <c r="A4" s="878"/>
      <c r="B4" s="724">
        <v>2559</v>
      </c>
      <c r="C4" s="724">
        <v>2558</v>
      </c>
      <c r="D4" s="724">
        <v>2557</v>
      </c>
      <c r="E4" s="724">
        <v>2556</v>
      </c>
      <c r="F4" s="722">
        <v>2555</v>
      </c>
      <c r="G4" s="722">
        <v>2554</v>
      </c>
      <c r="H4" s="722">
        <v>2553</v>
      </c>
      <c r="I4" s="722">
        <v>2551</v>
      </c>
      <c r="J4" s="879"/>
      <c r="K4" s="723" t="s">
        <v>84</v>
      </c>
      <c r="L4" s="723" t="s">
        <v>85</v>
      </c>
      <c r="M4" s="723" t="s">
        <v>86</v>
      </c>
      <c r="N4" s="723" t="s">
        <v>87</v>
      </c>
      <c r="O4" s="723" t="s">
        <v>88</v>
      </c>
      <c r="P4" s="880" t="s">
        <v>3</v>
      </c>
      <c r="Q4" s="705"/>
      <c r="R4" s="882"/>
      <c r="S4" s="699" t="s">
        <v>356</v>
      </c>
      <c r="T4" s="699" t="s">
        <v>357</v>
      </c>
      <c r="U4" s="699" t="s">
        <v>358</v>
      </c>
      <c r="V4" s="699" t="s">
        <v>359</v>
      </c>
      <c r="W4" s="699" t="s">
        <v>360</v>
      </c>
    </row>
    <row r="5" spans="1:35" ht="12.75" hidden="1" customHeight="1">
      <c r="A5" s="878"/>
      <c r="B5" s="725"/>
      <c r="C5" s="725"/>
      <c r="D5" s="725"/>
      <c r="E5" s="725"/>
      <c r="F5" s="726" t="s">
        <v>1</v>
      </c>
      <c r="G5" s="726" t="s">
        <v>1</v>
      </c>
      <c r="H5" s="726"/>
      <c r="I5" s="726"/>
      <c r="J5" s="727" t="s">
        <v>1</v>
      </c>
      <c r="K5" s="727" t="s">
        <v>1</v>
      </c>
      <c r="L5" s="727"/>
      <c r="M5" s="727"/>
      <c r="N5" s="727"/>
      <c r="O5" s="727" t="s">
        <v>2</v>
      </c>
      <c r="P5" s="881"/>
      <c r="Q5" s="705"/>
      <c r="R5" s="705"/>
      <c r="S5" s="622"/>
      <c r="T5" s="622"/>
      <c r="U5" s="622"/>
      <c r="V5" s="622"/>
      <c r="W5" s="622"/>
    </row>
    <row r="6" spans="1:35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711"/>
      <c r="K6" s="711"/>
      <c r="L6" s="711"/>
      <c r="M6" s="711"/>
      <c r="N6" s="711"/>
      <c r="O6" s="711"/>
      <c r="P6" s="711"/>
      <c r="Q6" s="491"/>
      <c r="R6" s="491"/>
      <c r="S6" s="377"/>
      <c r="T6" s="377"/>
      <c r="U6" s="377"/>
      <c r="V6" s="377"/>
      <c r="W6" s="377"/>
      <c r="X6" s="171"/>
      <c r="Y6" s="684"/>
      <c r="Z6" s="684"/>
      <c r="AA6" s="684"/>
      <c r="AB6" s="684"/>
      <c r="AC6" s="684"/>
      <c r="AD6" s="684"/>
    </row>
    <row r="7" spans="1:35">
      <c r="A7" s="299" t="s">
        <v>92</v>
      </c>
      <c r="B7" s="299"/>
      <c r="C7" s="299"/>
      <c r="D7" s="299"/>
      <c r="E7" s="299"/>
      <c r="F7" s="696"/>
      <c r="G7" s="696"/>
      <c r="H7" s="696"/>
      <c r="I7" s="696"/>
      <c r="J7" s="254">
        <f t="shared" ref="J7:J15" si="0">SUM(B7:I7)</f>
        <v>0</v>
      </c>
      <c r="K7" s="712">
        <v>52</v>
      </c>
      <c r="L7" s="712">
        <v>64</v>
      </c>
      <c r="M7" s="712">
        <v>20</v>
      </c>
      <c r="N7" s="712">
        <v>54</v>
      </c>
      <c r="O7" s="712"/>
      <c r="P7" s="254">
        <f t="shared" ref="P7:P20" si="1">SUM(J7:O7)</f>
        <v>190</v>
      </c>
      <c r="Q7" s="421" t="s">
        <v>39</v>
      </c>
      <c r="R7" s="421">
        <f>B7</f>
        <v>0</v>
      </c>
      <c r="S7" s="484"/>
      <c r="T7" s="484"/>
      <c r="U7" s="484"/>
      <c r="V7" s="484"/>
      <c r="W7" s="484"/>
      <c r="X7" s="793" t="s">
        <v>350</v>
      </c>
      <c r="Y7" s="793"/>
      <c r="Z7" s="793"/>
      <c r="AA7" s="793"/>
      <c r="AB7" s="793"/>
      <c r="AC7" s="793"/>
      <c r="AD7" s="793"/>
    </row>
    <row r="8" spans="1:35" s="461" customFormat="1">
      <c r="A8" s="250" t="s">
        <v>93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713">
        <v>17</v>
      </c>
      <c r="L8" s="252"/>
      <c r="M8" s="252"/>
      <c r="N8" s="252"/>
      <c r="O8" s="252"/>
      <c r="P8" s="252">
        <f t="shared" si="1"/>
        <v>17</v>
      </c>
      <c r="Q8" s="729" t="s">
        <v>39</v>
      </c>
      <c r="R8" s="729">
        <f>B8</f>
        <v>0</v>
      </c>
      <c r="S8" s="691"/>
      <c r="T8" s="691"/>
      <c r="U8" s="691"/>
      <c r="V8" s="691"/>
      <c r="W8" s="691"/>
      <c r="X8" s="602"/>
      <c r="Y8" s="604"/>
      <c r="Z8" s="604"/>
      <c r="AA8" s="604"/>
      <c r="AB8" s="604"/>
      <c r="AC8" s="604"/>
      <c r="AD8" s="604"/>
    </row>
    <row r="9" spans="1:35">
      <c r="A9" s="250" t="s">
        <v>94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713">
        <v>27</v>
      </c>
      <c r="L9" s="252"/>
      <c r="M9" s="252"/>
      <c r="N9" s="252"/>
      <c r="O9" s="252"/>
      <c r="P9" s="252">
        <f t="shared" si="1"/>
        <v>27</v>
      </c>
      <c r="Q9" s="729" t="s">
        <v>39</v>
      </c>
      <c r="R9" s="729">
        <f t="shared" ref="R9:R14" si="2">B9</f>
        <v>0</v>
      </c>
      <c r="S9" s="691"/>
      <c r="T9" s="691"/>
      <c r="U9" s="691"/>
      <c r="V9" s="691"/>
      <c r="W9" s="691"/>
      <c r="X9" s="873" t="s">
        <v>201</v>
      </c>
      <c r="Y9" s="857" t="s">
        <v>202</v>
      </c>
      <c r="Z9" s="857"/>
      <c r="AA9" s="857"/>
      <c r="AB9" s="857"/>
      <c r="AC9" s="857"/>
      <c r="AD9" s="858" t="s">
        <v>3</v>
      </c>
    </row>
    <row r="10" spans="1:35" s="461" customFormat="1">
      <c r="A10" s="250" t="s">
        <v>112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729" t="s">
        <v>41</v>
      </c>
      <c r="R10" s="729">
        <f t="shared" si="2"/>
        <v>0</v>
      </c>
      <c r="S10" s="691"/>
      <c r="T10" s="691"/>
      <c r="U10" s="691"/>
      <c r="V10" s="691"/>
      <c r="W10" s="691"/>
      <c r="X10" s="874"/>
      <c r="Y10" s="685" t="s">
        <v>203</v>
      </c>
      <c r="Z10" s="687" t="s">
        <v>204</v>
      </c>
      <c r="AA10" s="687" t="s">
        <v>205</v>
      </c>
      <c r="AB10" s="687" t="s">
        <v>51</v>
      </c>
      <c r="AC10" s="687" t="s">
        <v>134</v>
      </c>
      <c r="AD10" s="859"/>
    </row>
    <row r="11" spans="1:35">
      <c r="A11" s="250" t="s">
        <v>113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729" t="s">
        <v>41</v>
      </c>
      <c r="R11" s="729">
        <f t="shared" si="2"/>
        <v>0</v>
      </c>
      <c r="S11" s="691"/>
      <c r="T11" s="691"/>
      <c r="U11" s="691"/>
      <c r="V11" s="691"/>
      <c r="W11" s="691"/>
      <c r="X11" s="688" t="s">
        <v>200</v>
      </c>
      <c r="Y11" s="174">
        <f>บัณฑิตศึกษา!I39</f>
        <v>220</v>
      </c>
      <c r="Z11" s="174"/>
      <c r="AA11" s="174" t="e">
        <f>J20-#REF!</f>
        <v>#REF!</v>
      </c>
      <c r="AB11" s="174">
        <f>บัณฑิตศึกษา!I13</f>
        <v>449</v>
      </c>
      <c r="AC11" s="174">
        <f>บัณฑิตศึกษา!I19</f>
        <v>152</v>
      </c>
      <c r="AD11" s="174" t="e">
        <f t="shared" ref="AD11:AD19" si="3">SUM(Y11:AC11)</f>
        <v>#REF!</v>
      </c>
      <c r="AI11" s="461"/>
    </row>
    <row r="12" spans="1:35">
      <c r="A12" s="250" t="s">
        <v>114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729"/>
      <c r="R12" s="729">
        <f t="shared" si="2"/>
        <v>0</v>
      </c>
      <c r="S12" s="691"/>
      <c r="T12" s="691"/>
      <c r="U12" s="691"/>
      <c r="V12" s="691"/>
      <c r="W12" s="691"/>
      <c r="X12" s="688" t="s">
        <v>206</v>
      </c>
      <c r="Y12" s="174"/>
      <c r="Z12" s="174">
        <f>J70</f>
        <v>490</v>
      </c>
      <c r="AA12" s="174"/>
      <c r="AB12" s="174">
        <f>บัณฑิตศึกษา!I28</f>
        <v>14</v>
      </c>
      <c r="AC12" s="174"/>
      <c r="AD12" s="174">
        <f t="shared" si="3"/>
        <v>504</v>
      </c>
      <c r="AF12" s="93">
        <f>353+494</f>
        <v>847</v>
      </c>
    </row>
    <row r="13" spans="1:35">
      <c r="A13" s="250" t="s">
        <v>115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713"/>
      <c r="L13" s="252"/>
      <c r="M13" s="252"/>
      <c r="N13" s="252"/>
      <c r="O13" s="252"/>
      <c r="P13" s="252">
        <f t="shared" si="1"/>
        <v>0</v>
      </c>
      <c r="Q13" s="730">
        <v>526</v>
      </c>
      <c r="R13" s="729">
        <f t="shared" si="2"/>
        <v>0</v>
      </c>
      <c r="S13" s="691"/>
      <c r="T13" s="691"/>
      <c r="U13" s="691"/>
      <c r="V13" s="691"/>
      <c r="W13" s="691"/>
      <c r="X13" s="688" t="s">
        <v>197</v>
      </c>
      <c r="Y13" s="174">
        <f>J78+J89</f>
        <v>250</v>
      </c>
      <c r="Z13" s="174">
        <f>J92-Y13</f>
        <v>383</v>
      </c>
      <c r="AA13" s="174"/>
      <c r="AB13" s="174">
        <f>บัณฑิตศึกษา!I34</f>
        <v>86</v>
      </c>
      <c r="AC13" s="174">
        <f>บัณฑิตศึกษา!I35</f>
        <v>40</v>
      </c>
      <c r="AD13" s="174">
        <f t="shared" si="3"/>
        <v>759</v>
      </c>
    </row>
    <row r="14" spans="1:35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730">
        <v>116</v>
      </c>
      <c r="R14" s="729">
        <f t="shared" si="2"/>
        <v>0</v>
      </c>
      <c r="S14" s="691"/>
      <c r="T14" s="691"/>
      <c r="U14" s="691"/>
      <c r="V14" s="691"/>
      <c r="W14" s="691"/>
      <c r="X14" s="246" t="s">
        <v>3</v>
      </c>
      <c r="Y14" s="106">
        <f>SUM(Y11:Y13)</f>
        <v>470</v>
      </c>
      <c r="Z14" s="106">
        <f t="shared" ref="Z14:AD14" si="4">SUM(Z11:Z13)</f>
        <v>873</v>
      </c>
      <c r="AA14" s="106" t="e">
        <f t="shared" si="4"/>
        <v>#REF!</v>
      </c>
      <c r="AB14" s="106">
        <f t="shared" si="4"/>
        <v>549</v>
      </c>
      <c r="AC14" s="106">
        <f t="shared" si="4"/>
        <v>192</v>
      </c>
      <c r="AD14" s="106" t="e">
        <f t="shared" si="4"/>
        <v>#REF!</v>
      </c>
      <c r="AE14" s="93">
        <v>153</v>
      </c>
      <c r="AF14" s="117" t="e">
        <f>SUM(AD14:AE14)</f>
        <v>#REF!</v>
      </c>
    </row>
    <row r="15" spans="1:35" s="461" customFormat="1">
      <c r="A15" s="307" t="s">
        <v>10</v>
      </c>
      <c r="B15" s="307"/>
      <c r="C15" s="307"/>
      <c r="D15" s="307"/>
      <c r="E15" s="307"/>
      <c r="F15" s="728"/>
      <c r="G15" s="728"/>
      <c r="H15" s="728"/>
      <c r="I15" s="728"/>
      <c r="J15" s="716">
        <f t="shared" si="0"/>
        <v>0</v>
      </c>
      <c r="K15" s="717">
        <v>24</v>
      </c>
      <c r="L15" s="716"/>
      <c r="M15" s="716"/>
      <c r="N15" s="716"/>
      <c r="O15" s="716"/>
      <c r="P15" s="254">
        <f t="shared" si="1"/>
        <v>24</v>
      </c>
      <c r="Q15" s="421"/>
      <c r="R15" s="421">
        <f>B15</f>
        <v>0</v>
      </c>
      <c r="S15" s="693"/>
      <c r="T15" s="693"/>
      <c r="U15" s="693"/>
      <c r="V15" s="693"/>
      <c r="W15" s="693"/>
      <c r="X15" s="689" t="s">
        <v>199</v>
      </c>
      <c r="Y15" s="194"/>
      <c r="Z15" s="194">
        <f>J50</f>
        <v>35</v>
      </c>
      <c r="AA15" s="194"/>
      <c r="AB15" s="194">
        <f>บัณฑิตศึกษา!M13</f>
        <v>78</v>
      </c>
      <c r="AC15" s="194">
        <f>บัณฑิตศึกษา!I22</f>
        <v>1</v>
      </c>
      <c r="AD15" s="194">
        <f t="shared" si="3"/>
        <v>114</v>
      </c>
    </row>
    <row r="16" spans="1:35" hidden="1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713">
        <v>142</v>
      </c>
      <c r="L16" s="713">
        <v>334</v>
      </c>
      <c r="M16" s="713">
        <v>9</v>
      </c>
      <c r="N16" s="252">
        <v>1</v>
      </c>
      <c r="O16" s="252"/>
      <c r="P16" s="107">
        <f t="shared" si="1"/>
        <v>486</v>
      </c>
      <c r="Q16" s="421" t="s">
        <v>39</v>
      </c>
      <c r="S16" s="691"/>
      <c r="T16" s="691"/>
      <c r="U16" s="691"/>
      <c r="V16" s="691"/>
      <c r="W16" s="691"/>
      <c r="X16" s="688" t="s">
        <v>17</v>
      </c>
      <c r="Y16" s="174"/>
      <c r="Z16" s="174"/>
      <c r="AA16" s="174"/>
      <c r="AB16" s="174"/>
      <c r="AC16" s="174"/>
      <c r="AD16" s="174">
        <f t="shared" si="3"/>
        <v>0</v>
      </c>
    </row>
    <row r="17" spans="1:36" hidden="1">
      <c r="A17" s="250" t="s">
        <v>7</v>
      </c>
      <c r="B17" s="250"/>
      <c r="C17" s="250"/>
      <c r="D17" s="250"/>
      <c r="E17" s="250"/>
      <c r="F17" s="368"/>
      <c r="G17" s="368"/>
      <c r="H17" s="368"/>
      <c r="I17" s="368"/>
      <c r="J17" s="252"/>
      <c r="K17" s="713">
        <v>36</v>
      </c>
      <c r="L17" s="252"/>
      <c r="M17" s="252"/>
      <c r="N17" s="252"/>
      <c r="O17" s="252"/>
      <c r="P17" s="107">
        <f t="shared" si="1"/>
        <v>36</v>
      </c>
      <c r="S17" s="691"/>
      <c r="T17" s="691"/>
      <c r="U17" s="691"/>
      <c r="V17" s="691"/>
      <c r="W17" s="691"/>
      <c r="X17" s="688" t="s">
        <v>198</v>
      </c>
      <c r="Y17" s="174"/>
      <c r="Z17" s="174"/>
      <c r="AA17" s="174"/>
      <c r="AB17" s="174"/>
      <c r="AC17" s="174"/>
      <c r="AD17" s="174">
        <f t="shared" si="3"/>
        <v>0</v>
      </c>
    </row>
    <row r="18" spans="1:36" hidden="1">
      <c r="A18" s="250"/>
      <c r="B18" s="250"/>
      <c r="C18" s="250"/>
      <c r="D18" s="250"/>
      <c r="E18" s="250"/>
      <c r="F18" s="368"/>
      <c r="G18" s="368"/>
      <c r="H18" s="368"/>
      <c r="I18" s="368"/>
      <c r="J18" s="252"/>
      <c r="K18" s="713">
        <v>42</v>
      </c>
      <c r="L18" s="713">
        <v>48</v>
      </c>
      <c r="M18" s="713">
        <v>7</v>
      </c>
      <c r="N18" s="252"/>
      <c r="O18" s="252"/>
      <c r="P18" s="107">
        <f t="shared" si="1"/>
        <v>97</v>
      </c>
      <c r="Q18" s="421" t="s">
        <v>41</v>
      </c>
      <c r="S18" s="691"/>
      <c r="T18" s="691"/>
      <c r="U18" s="691"/>
      <c r="V18" s="691"/>
      <c r="W18" s="691"/>
      <c r="X18" s="690" t="s">
        <v>3</v>
      </c>
      <c r="Y18" s="106"/>
      <c r="Z18" s="106"/>
      <c r="AA18" s="106"/>
      <c r="AB18" s="106"/>
      <c r="AC18" s="106"/>
      <c r="AD18" s="174">
        <f t="shared" si="3"/>
        <v>0</v>
      </c>
    </row>
    <row r="19" spans="1:36" hidden="1">
      <c r="A19" s="96" t="s">
        <v>9</v>
      </c>
      <c r="B19" s="96"/>
      <c r="C19" s="96"/>
      <c r="D19" s="96"/>
      <c r="E19" s="96"/>
      <c r="F19" s="376"/>
      <c r="G19" s="376"/>
      <c r="H19" s="376"/>
      <c r="I19" s="376"/>
      <c r="J19" s="107"/>
      <c r="K19" s="714">
        <v>36</v>
      </c>
      <c r="L19" s="107"/>
      <c r="M19" s="107"/>
      <c r="N19" s="107"/>
      <c r="O19" s="107"/>
      <c r="P19" s="107">
        <f t="shared" si="1"/>
        <v>36</v>
      </c>
      <c r="S19" s="692"/>
      <c r="T19" s="692"/>
      <c r="U19" s="692"/>
      <c r="V19" s="692"/>
      <c r="W19" s="692"/>
      <c r="X19" s="690" t="s">
        <v>59</v>
      </c>
      <c r="Y19" s="106"/>
      <c r="Z19" s="106"/>
      <c r="AA19" s="106"/>
      <c r="AB19" s="106"/>
      <c r="AC19" s="106"/>
      <c r="AD19" s="106">
        <f t="shared" si="3"/>
        <v>0</v>
      </c>
    </row>
    <row r="20" spans="1:36">
      <c r="A20" s="95" t="s">
        <v>3</v>
      </c>
      <c r="B20" s="95">
        <f t="shared" ref="B20:O20" si="5">SUM(B7:B19)</f>
        <v>0</v>
      </c>
      <c r="C20" s="95">
        <f t="shared" si="5"/>
        <v>0</v>
      </c>
      <c r="D20" s="95">
        <f t="shared" si="5"/>
        <v>0</v>
      </c>
      <c r="E20" s="95">
        <f t="shared" si="5"/>
        <v>0</v>
      </c>
      <c r="F20" s="95">
        <f t="shared" si="5"/>
        <v>0</v>
      </c>
      <c r="G20" s="95">
        <f t="shared" si="5"/>
        <v>0</v>
      </c>
      <c r="H20" s="95">
        <f t="shared" si="5"/>
        <v>0</v>
      </c>
      <c r="I20" s="95">
        <f t="shared" si="5"/>
        <v>0</v>
      </c>
      <c r="J20" s="106">
        <f t="shared" si="5"/>
        <v>0</v>
      </c>
      <c r="K20" s="106">
        <f t="shared" si="5"/>
        <v>395</v>
      </c>
      <c r="L20" s="106">
        <f t="shared" si="5"/>
        <v>446</v>
      </c>
      <c r="M20" s="106">
        <f t="shared" si="5"/>
        <v>36</v>
      </c>
      <c r="N20" s="106">
        <f t="shared" si="5"/>
        <v>55</v>
      </c>
      <c r="O20" s="106">
        <f t="shared" si="5"/>
        <v>0</v>
      </c>
      <c r="P20" s="715">
        <f t="shared" si="1"/>
        <v>932</v>
      </c>
      <c r="Q20" s="106">
        <f>1563+44+26+48+23+18+56+38</f>
        <v>1816</v>
      </c>
      <c r="R20" s="106">
        <f t="shared" ref="R20" si="6">SUM(R7:R19)</f>
        <v>0</v>
      </c>
      <c r="S20" s="95"/>
      <c r="T20" s="95"/>
      <c r="U20" s="95"/>
      <c r="V20" s="95"/>
      <c r="W20" s="95"/>
      <c r="X20" s="688" t="s">
        <v>198</v>
      </c>
      <c r="Y20" s="381">
        <f>J34+J35+J36+J39+J40</f>
        <v>55</v>
      </c>
      <c r="Z20" s="381">
        <f>J46-Y20</f>
        <v>72</v>
      </c>
      <c r="AA20" s="95"/>
      <c r="AB20" s="378">
        <f>บัณฑิตศึกษา!I32</f>
        <v>0</v>
      </c>
      <c r="AC20" s="377"/>
      <c r="AD20" s="378">
        <f>SUM(Y20:AC20)</f>
        <v>127</v>
      </c>
      <c r="AE20" s="169"/>
      <c r="AF20" s="169"/>
    </row>
    <row r="21" spans="1:36">
      <c r="A21" s="382" t="s">
        <v>15</v>
      </c>
      <c r="B21" s="404"/>
      <c r="C21" s="404"/>
      <c r="D21" s="404"/>
      <c r="E21" s="404"/>
      <c r="F21" s="385"/>
      <c r="G21" s="694"/>
      <c r="H21" s="385"/>
      <c r="I21" s="385"/>
      <c r="J21" s="254"/>
      <c r="K21" s="254"/>
      <c r="L21" s="254"/>
      <c r="M21" s="254"/>
      <c r="N21" s="254"/>
      <c r="O21" s="254"/>
      <c r="P21" s="254"/>
      <c r="Q21" s="421">
        <f>1844-1816</f>
        <v>28</v>
      </c>
      <c r="S21" s="484"/>
      <c r="T21" s="484"/>
      <c r="U21" s="484"/>
      <c r="V21" s="484"/>
      <c r="W21" s="484"/>
      <c r="X21" s="690" t="s">
        <v>3</v>
      </c>
      <c r="Y21" s="106">
        <f t="shared" ref="Y21:AD21" si="7">SUM(Y15:Y20)</f>
        <v>55</v>
      </c>
      <c r="Z21" s="106">
        <f t="shared" si="7"/>
        <v>107</v>
      </c>
      <c r="AA21" s="106">
        <f t="shared" si="7"/>
        <v>0</v>
      </c>
      <c r="AB21" s="106">
        <f t="shared" si="7"/>
        <v>78</v>
      </c>
      <c r="AC21" s="106">
        <f t="shared" si="7"/>
        <v>1</v>
      </c>
      <c r="AD21" s="106">
        <f t="shared" si="7"/>
        <v>241</v>
      </c>
    </row>
    <row r="22" spans="1:36">
      <c r="A22" s="100" t="s">
        <v>125</v>
      </c>
      <c r="B22" s="100"/>
      <c r="C22" s="100"/>
      <c r="D22" s="100"/>
      <c r="E22" s="100">
        <v>17</v>
      </c>
      <c r="F22" s="386">
        <v>3</v>
      </c>
      <c r="G22" s="731"/>
      <c r="H22" s="732"/>
      <c r="I22" s="691"/>
      <c r="J22" s="252">
        <f t="shared" ref="J22:J40" si="8">SUM(B22:I22)</f>
        <v>20</v>
      </c>
      <c r="K22" s="252"/>
      <c r="L22" s="252"/>
      <c r="M22" s="252"/>
      <c r="N22" s="252"/>
      <c r="O22" s="252"/>
      <c r="P22" s="252">
        <f>SUM(J22:O22)</f>
        <v>20</v>
      </c>
      <c r="Q22" s="729"/>
      <c r="R22" s="729">
        <f t="shared" ref="R22:R40" si="9">B22</f>
        <v>0</v>
      </c>
      <c r="S22" s="691"/>
      <c r="T22" s="691"/>
      <c r="U22" s="691"/>
      <c r="V22" s="691"/>
      <c r="W22" s="691"/>
      <c r="X22" s="690" t="s">
        <v>59</v>
      </c>
      <c r="Y22" s="539">
        <f t="shared" ref="Y22:AD22" si="10">SUM(Y14,Y21)</f>
        <v>525</v>
      </c>
      <c r="Z22" s="539">
        <f t="shared" si="10"/>
        <v>980</v>
      </c>
      <c r="AA22" s="539" t="e">
        <f t="shared" si="10"/>
        <v>#REF!</v>
      </c>
      <c r="AB22" s="539">
        <f t="shared" si="10"/>
        <v>627</v>
      </c>
      <c r="AC22" s="539">
        <f t="shared" si="10"/>
        <v>193</v>
      </c>
      <c r="AD22" s="539" t="e">
        <f t="shared" si="10"/>
        <v>#REF!</v>
      </c>
    </row>
    <row r="23" spans="1:36">
      <c r="A23" s="100" t="s">
        <v>354</v>
      </c>
      <c r="B23" s="100">
        <v>14</v>
      </c>
      <c r="C23" s="100"/>
      <c r="D23" s="100"/>
      <c r="E23" s="100"/>
      <c r="F23" s="386"/>
      <c r="G23" s="733"/>
      <c r="H23" s="732"/>
      <c r="I23" s="691"/>
      <c r="J23" s="252">
        <f t="shared" si="8"/>
        <v>14</v>
      </c>
      <c r="K23" s="252"/>
      <c r="L23" s="252"/>
      <c r="M23" s="252"/>
      <c r="N23" s="252"/>
      <c r="O23" s="252"/>
      <c r="P23" s="252">
        <f>SUM(J23:O23)</f>
        <v>14</v>
      </c>
      <c r="Q23" s="729"/>
      <c r="R23" s="729">
        <f t="shared" si="9"/>
        <v>14</v>
      </c>
      <c r="S23" s="691"/>
      <c r="T23" s="691"/>
      <c r="U23" s="691"/>
      <c r="V23" s="691"/>
      <c r="W23" s="691"/>
      <c r="Y23" s="860" t="e">
        <f>Y22+Z22+AA22</f>
        <v>#REF!</v>
      </c>
      <c r="Z23" s="861"/>
      <c r="AA23" s="862"/>
      <c r="AB23" s="546">
        <f>AB22+AC22</f>
        <v>820</v>
      </c>
      <c r="AC23" s="546">
        <f>Y11</f>
        <v>220</v>
      </c>
      <c r="AD23" s="546">
        <f>SUM(AB23:AC23)</f>
        <v>1040</v>
      </c>
      <c r="AE23" s="540">
        <f>'ปกติ (2)'!I135+'ปกติ (2)'!I136</f>
        <v>35</v>
      </c>
      <c r="AF23" s="541">
        <f>SUM(AD23:AE23)</f>
        <v>1075</v>
      </c>
    </row>
    <row r="24" spans="1:36">
      <c r="A24" s="100" t="s">
        <v>381</v>
      </c>
      <c r="B24" s="100"/>
      <c r="C24" s="100"/>
      <c r="D24" s="100"/>
      <c r="E24" s="100"/>
      <c r="F24" s="386"/>
      <c r="G24" s="391"/>
      <c r="H24" s="386"/>
      <c r="I24" s="386"/>
      <c r="J24" s="252">
        <f t="shared" si="8"/>
        <v>0</v>
      </c>
      <c r="K24" s="252"/>
      <c r="L24" s="252"/>
      <c r="M24" s="252"/>
      <c r="N24" s="252"/>
      <c r="O24" s="252"/>
      <c r="P24" s="252">
        <f t="shared" ref="P24:P92" si="11">SUM(J24:O24)</f>
        <v>0</v>
      </c>
      <c r="Q24" s="729"/>
      <c r="R24" s="729">
        <f t="shared" si="9"/>
        <v>0</v>
      </c>
      <c r="S24" s="691"/>
      <c r="T24" s="691">
        <v>50</v>
      </c>
      <c r="U24" s="691">
        <v>50</v>
      </c>
      <c r="V24" s="691">
        <v>50</v>
      </c>
      <c r="W24" s="691">
        <v>50</v>
      </c>
      <c r="X24" s="93" t="s">
        <v>302</v>
      </c>
      <c r="AC24" s="617" t="e">
        <f>Y23+AB23+AC23</f>
        <v>#REF!</v>
      </c>
      <c r="AJ24" s="461" t="s">
        <v>369</v>
      </c>
    </row>
    <row r="25" spans="1:36" hidden="1">
      <c r="A25" s="100" t="s">
        <v>159</v>
      </c>
      <c r="B25" s="100"/>
      <c r="C25" s="100"/>
      <c r="D25" s="100"/>
      <c r="E25" s="100"/>
      <c r="F25" s="386"/>
      <c r="G25" s="391"/>
      <c r="H25" s="386"/>
      <c r="I25" s="386"/>
      <c r="J25" s="252">
        <f t="shared" si="8"/>
        <v>0</v>
      </c>
      <c r="K25" s="252"/>
      <c r="L25" s="252"/>
      <c r="M25" s="252"/>
      <c r="N25" s="252"/>
      <c r="O25" s="252"/>
      <c r="P25" s="252"/>
      <c r="Q25" s="729"/>
      <c r="R25" s="729">
        <f t="shared" si="9"/>
        <v>0</v>
      </c>
      <c r="S25" s="691"/>
      <c r="T25" s="691"/>
      <c r="U25" s="691"/>
      <c r="V25" s="691"/>
      <c r="W25" s="691"/>
    </row>
    <row r="26" spans="1:36" hidden="1">
      <c r="A26" s="100" t="s">
        <v>160</v>
      </c>
      <c r="B26" s="100"/>
      <c r="C26" s="100"/>
      <c r="D26" s="100"/>
      <c r="E26" s="100"/>
      <c r="F26" s="386"/>
      <c r="G26" s="391"/>
      <c r="H26" s="386"/>
      <c r="I26" s="386"/>
      <c r="J26" s="252">
        <f t="shared" si="8"/>
        <v>0</v>
      </c>
      <c r="K26" s="252"/>
      <c r="L26" s="252"/>
      <c r="M26" s="252"/>
      <c r="N26" s="252"/>
      <c r="O26" s="252"/>
      <c r="P26" s="252"/>
      <c r="Q26" s="729"/>
      <c r="R26" s="729">
        <f t="shared" si="9"/>
        <v>0</v>
      </c>
      <c r="S26" s="691"/>
      <c r="T26" s="691"/>
      <c r="U26" s="691"/>
      <c r="V26" s="691"/>
      <c r="W26" s="691"/>
    </row>
    <row r="27" spans="1:36" hidden="1">
      <c r="A27" s="100" t="s">
        <v>145</v>
      </c>
      <c r="B27" s="100"/>
      <c r="C27" s="100"/>
      <c r="D27" s="100"/>
      <c r="E27" s="100"/>
      <c r="F27" s="386"/>
      <c r="G27" s="391"/>
      <c r="H27" s="386"/>
      <c r="I27" s="386"/>
      <c r="J27" s="252">
        <f t="shared" si="8"/>
        <v>0</v>
      </c>
      <c r="K27" s="713"/>
      <c r="L27" s="713"/>
      <c r="M27" s="252"/>
      <c r="N27" s="252"/>
      <c r="O27" s="252"/>
      <c r="P27" s="252">
        <f>SUM(J27:O27)</f>
        <v>0</v>
      </c>
      <c r="Q27" s="729"/>
      <c r="R27" s="729">
        <f t="shared" si="9"/>
        <v>0</v>
      </c>
      <c r="S27" s="691"/>
      <c r="T27" s="691"/>
      <c r="U27" s="691"/>
      <c r="V27" s="691"/>
      <c r="W27" s="691"/>
    </row>
    <row r="28" spans="1:36" hidden="1">
      <c r="A28" s="100" t="s">
        <v>139</v>
      </c>
      <c r="B28" s="100"/>
      <c r="C28" s="100"/>
      <c r="D28" s="100"/>
      <c r="E28" s="100"/>
      <c r="F28" s="386"/>
      <c r="G28" s="391"/>
      <c r="H28" s="386"/>
      <c r="I28" s="386"/>
      <c r="J28" s="252">
        <f t="shared" si="8"/>
        <v>0</v>
      </c>
      <c r="K28" s="713"/>
      <c r="L28" s="713"/>
      <c r="M28" s="252"/>
      <c r="N28" s="252"/>
      <c r="O28" s="252"/>
      <c r="P28" s="252">
        <f t="shared" si="11"/>
        <v>0</v>
      </c>
      <c r="Q28" s="729"/>
      <c r="R28" s="729">
        <f t="shared" si="9"/>
        <v>0</v>
      </c>
      <c r="S28" s="691"/>
      <c r="T28" s="691"/>
      <c r="U28" s="691"/>
      <c r="V28" s="691"/>
      <c r="W28" s="691"/>
    </row>
    <row r="29" spans="1:36" hidden="1">
      <c r="A29" s="100" t="s">
        <v>147</v>
      </c>
      <c r="B29" s="100"/>
      <c r="C29" s="100"/>
      <c r="D29" s="100"/>
      <c r="E29" s="100"/>
      <c r="F29" s="386"/>
      <c r="G29" s="391"/>
      <c r="H29" s="386"/>
      <c r="I29" s="386"/>
      <c r="J29" s="252">
        <f t="shared" si="8"/>
        <v>0</v>
      </c>
      <c r="K29" s="713"/>
      <c r="L29" s="713"/>
      <c r="M29" s="252"/>
      <c r="N29" s="252"/>
      <c r="O29" s="252"/>
      <c r="P29" s="252">
        <f t="shared" si="11"/>
        <v>0</v>
      </c>
      <c r="Q29" s="729"/>
      <c r="R29" s="729">
        <f t="shared" si="9"/>
        <v>0</v>
      </c>
      <c r="S29" s="691"/>
      <c r="T29" s="691"/>
      <c r="U29" s="691"/>
      <c r="V29" s="691"/>
      <c r="W29" s="691"/>
    </row>
    <row r="30" spans="1:36">
      <c r="A30" s="100" t="s">
        <v>380</v>
      </c>
      <c r="B30" s="100"/>
      <c r="C30" s="100"/>
      <c r="D30" s="100"/>
      <c r="E30" s="100"/>
      <c r="F30" s="386"/>
      <c r="G30" s="391"/>
      <c r="H30" s="386"/>
      <c r="I30" s="386"/>
      <c r="J30" s="252">
        <f t="shared" ref="J30" si="12">SUM(B30:I30)</f>
        <v>0</v>
      </c>
      <c r="K30" s="252"/>
      <c r="L30" s="252"/>
      <c r="M30" s="252"/>
      <c r="N30" s="252"/>
      <c r="O30" s="252"/>
      <c r="P30" s="252">
        <f t="shared" ref="P30" si="13">SUM(J30:O30)</f>
        <v>0</v>
      </c>
      <c r="Q30" s="729"/>
      <c r="R30" s="729">
        <f t="shared" ref="R30" si="14">B30</f>
        <v>0</v>
      </c>
      <c r="S30" s="691"/>
      <c r="T30" s="691">
        <v>50</v>
      </c>
      <c r="U30" s="691">
        <v>50</v>
      </c>
      <c r="V30" s="691">
        <v>50</v>
      </c>
      <c r="W30" s="691">
        <v>50</v>
      </c>
      <c r="X30" s="93" t="s">
        <v>302</v>
      </c>
      <c r="AC30" s="617">
        <f>Y29+AB29+AC29</f>
        <v>0</v>
      </c>
      <c r="AJ30" s="461" t="s">
        <v>369</v>
      </c>
    </row>
    <row r="31" spans="1:36">
      <c r="A31" s="100" t="s">
        <v>315</v>
      </c>
      <c r="B31" s="100">
        <v>13</v>
      </c>
      <c r="C31" s="100">
        <v>11</v>
      </c>
      <c r="D31" s="100"/>
      <c r="E31" s="100"/>
      <c r="F31" s="386"/>
      <c r="G31" s="391"/>
      <c r="H31" s="386"/>
      <c r="I31" s="386"/>
      <c r="J31" s="252">
        <f t="shared" si="8"/>
        <v>24</v>
      </c>
      <c r="K31" s="252"/>
      <c r="L31" s="252"/>
      <c r="M31" s="252"/>
      <c r="N31" s="252"/>
      <c r="O31" s="252"/>
      <c r="P31" s="252">
        <f t="shared" ref="P31" si="15">SUM(J31:O31)</f>
        <v>24</v>
      </c>
      <c r="Q31" s="729"/>
      <c r="R31" s="729">
        <f t="shared" si="9"/>
        <v>13</v>
      </c>
      <c r="S31" s="691"/>
      <c r="T31" s="691"/>
      <c r="U31" s="691"/>
      <c r="V31" s="691"/>
      <c r="W31" s="691"/>
      <c r="X31" s="93" t="s">
        <v>302</v>
      </c>
      <c r="AC31" s="617">
        <f>Y11+AB22+AC22</f>
        <v>1040</v>
      </c>
    </row>
    <row r="32" spans="1:36">
      <c r="A32" s="100" t="s">
        <v>383</v>
      </c>
      <c r="B32" s="100">
        <v>14</v>
      </c>
      <c r="C32" s="100"/>
      <c r="D32" s="100"/>
      <c r="E32" s="100"/>
      <c r="F32" s="386"/>
      <c r="G32" s="391"/>
      <c r="H32" s="386"/>
      <c r="I32" s="386"/>
      <c r="J32" s="252">
        <f t="shared" si="8"/>
        <v>14</v>
      </c>
      <c r="K32" s="252"/>
      <c r="L32" s="252"/>
      <c r="M32" s="252"/>
      <c r="N32" s="252"/>
      <c r="O32" s="252"/>
      <c r="P32" s="252"/>
      <c r="Q32" s="729"/>
      <c r="R32" s="729">
        <f t="shared" si="9"/>
        <v>14</v>
      </c>
      <c r="S32" s="691">
        <v>40</v>
      </c>
      <c r="T32" s="739">
        <v>0</v>
      </c>
      <c r="U32" s="739">
        <v>0</v>
      </c>
      <c r="V32" s="739">
        <v>0</v>
      </c>
      <c r="W32" s="739">
        <v>0</v>
      </c>
      <c r="AC32" s="617"/>
    </row>
    <row r="33" spans="1:36">
      <c r="A33" s="100" t="s">
        <v>382</v>
      </c>
      <c r="B33" s="100">
        <v>14</v>
      </c>
      <c r="C33" s="100"/>
      <c r="D33" s="100"/>
      <c r="E33" s="100"/>
      <c r="F33" s="386"/>
      <c r="G33" s="391"/>
      <c r="H33" s="386"/>
      <c r="I33" s="386"/>
      <c r="J33" s="252"/>
      <c r="K33" s="252"/>
      <c r="L33" s="252"/>
      <c r="M33" s="252"/>
      <c r="N33" s="252"/>
      <c r="O33" s="252"/>
      <c r="P33" s="252"/>
      <c r="Q33" s="729"/>
      <c r="R33" s="729"/>
      <c r="S33" s="691">
        <v>40</v>
      </c>
      <c r="T33" s="739">
        <v>0</v>
      </c>
      <c r="U33" s="739">
        <v>0</v>
      </c>
      <c r="V33" s="739">
        <v>0</v>
      </c>
      <c r="W33" s="739">
        <v>0</v>
      </c>
      <c r="AC33" s="617"/>
    </row>
    <row r="34" spans="1:36">
      <c r="A34" s="100" t="s">
        <v>178</v>
      </c>
      <c r="B34" s="100"/>
      <c r="C34" s="100">
        <v>7</v>
      </c>
      <c r="D34" s="100"/>
      <c r="E34" s="100"/>
      <c r="F34" s="386">
        <v>1</v>
      </c>
      <c r="G34" s="391"/>
      <c r="H34" s="386"/>
      <c r="I34" s="386"/>
      <c r="J34" s="252">
        <f t="shared" si="8"/>
        <v>8</v>
      </c>
      <c r="K34" s="252"/>
      <c r="L34" s="252"/>
      <c r="M34" s="252"/>
      <c r="N34" s="252"/>
      <c r="O34" s="252"/>
      <c r="P34" s="252">
        <f t="shared" si="11"/>
        <v>8</v>
      </c>
      <c r="Q34" s="729"/>
      <c r="R34" s="729">
        <f t="shared" si="9"/>
        <v>0</v>
      </c>
      <c r="S34" s="691"/>
      <c r="T34" s="691"/>
      <c r="U34" s="691"/>
      <c r="V34" s="691"/>
      <c r="W34" s="691"/>
      <c r="X34" s="461" t="s">
        <v>349</v>
      </c>
      <c r="AA34" s="117" t="e">
        <f>Y23-Y11</f>
        <v>#REF!</v>
      </c>
      <c r="AB34" s="117">
        <f>Y22-Y11</f>
        <v>305</v>
      </c>
      <c r="AE34" s="93">
        <f>SUM(AC34:AD34)</f>
        <v>0</v>
      </c>
    </row>
    <row r="35" spans="1:36">
      <c r="A35" s="100" t="s">
        <v>179</v>
      </c>
      <c r="B35" s="100">
        <v>14</v>
      </c>
      <c r="C35" s="100">
        <v>21</v>
      </c>
      <c r="D35" s="100">
        <v>5</v>
      </c>
      <c r="E35" s="100">
        <v>3</v>
      </c>
      <c r="F35" s="386">
        <v>1</v>
      </c>
      <c r="G35" s="391"/>
      <c r="H35" s="386"/>
      <c r="I35" s="386"/>
      <c r="J35" s="252">
        <f t="shared" si="8"/>
        <v>44</v>
      </c>
      <c r="K35" s="252"/>
      <c r="L35" s="252"/>
      <c r="M35" s="252"/>
      <c r="N35" s="252"/>
      <c r="O35" s="252"/>
      <c r="P35" s="252">
        <f t="shared" si="11"/>
        <v>44</v>
      </c>
      <c r="Q35" s="729"/>
      <c r="R35" s="729">
        <f t="shared" si="9"/>
        <v>14</v>
      </c>
      <c r="S35" s="691"/>
      <c r="T35" s="691"/>
      <c r="U35" s="691"/>
      <c r="V35" s="691"/>
      <c r="W35" s="691"/>
      <c r="AC35" s="117" t="e">
        <f>Y14+Z14+AA14</f>
        <v>#REF!</v>
      </c>
    </row>
    <row r="36" spans="1:36" hidden="1">
      <c r="A36" s="100" t="s">
        <v>252</v>
      </c>
      <c r="B36" s="100"/>
      <c r="C36" s="100"/>
      <c r="D36" s="100"/>
      <c r="E36" s="100"/>
      <c r="F36" s="386"/>
      <c r="G36" s="391"/>
      <c r="H36" s="386"/>
      <c r="I36" s="386"/>
      <c r="J36" s="252">
        <f t="shared" si="8"/>
        <v>0</v>
      </c>
      <c r="K36" s="252"/>
      <c r="L36" s="252"/>
      <c r="M36" s="252"/>
      <c r="N36" s="252"/>
      <c r="O36" s="252"/>
      <c r="P36" s="252">
        <f t="shared" si="11"/>
        <v>0</v>
      </c>
      <c r="Q36" s="729"/>
      <c r="R36" s="729">
        <f t="shared" si="9"/>
        <v>0</v>
      </c>
      <c r="S36" s="691"/>
      <c r="T36" s="691"/>
      <c r="U36" s="691"/>
      <c r="V36" s="691"/>
      <c r="W36" s="691"/>
      <c r="AA36" s="117"/>
    </row>
    <row r="37" spans="1:36">
      <c r="A37" s="100" t="s">
        <v>384</v>
      </c>
      <c r="B37" s="100">
        <v>13</v>
      </c>
      <c r="C37" s="100">
        <v>11</v>
      </c>
      <c r="D37" s="100"/>
      <c r="E37" s="100"/>
      <c r="F37" s="386"/>
      <c r="G37" s="391"/>
      <c r="H37" s="386"/>
      <c r="I37" s="386"/>
      <c r="J37" s="252"/>
      <c r="K37" s="252"/>
      <c r="L37" s="252"/>
      <c r="M37" s="252"/>
      <c r="N37" s="252"/>
      <c r="O37" s="252"/>
      <c r="P37" s="252"/>
      <c r="Q37" s="729"/>
      <c r="R37" s="729"/>
      <c r="S37" s="691">
        <v>50</v>
      </c>
      <c r="T37" s="691">
        <v>30</v>
      </c>
      <c r="U37" s="739">
        <v>0</v>
      </c>
      <c r="V37" s="739">
        <v>0</v>
      </c>
      <c r="W37" s="739">
        <v>0</v>
      </c>
      <c r="X37" s="93" t="s">
        <v>302</v>
      </c>
      <c r="AC37" s="617">
        <f>Y17+AB28+AC28</f>
        <v>0</v>
      </c>
      <c r="AJ37" s="461" t="s">
        <v>369</v>
      </c>
    </row>
    <row r="38" spans="1:36">
      <c r="A38" s="100" t="s">
        <v>385</v>
      </c>
      <c r="B38" s="100"/>
      <c r="C38" s="100"/>
      <c r="D38" s="100"/>
      <c r="E38" s="100"/>
      <c r="F38" s="386"/>
      <c r="G38" s="391"/>
      <c r="H38" s="386"/>
      <c r="I38" s="386"/>
      <c r="J38" s="252">
        <f t="shared" si="8"/>
        <v>0</v>
      </c>
      <c r="K38" s="252"/>
      <c r="L38" s="252"/>
      <c r="M38" s="252"/>
      <c r="N38" s="252"/>
      <c r="O38" s="252"/>
      <c r="P38" s="252">
        <f t="shared" ref="P38" si="16">SUM(J38:O38)</f>
        <v>0</v>
      </c>
      <c r="Q38" s="729"/>
      <c r="R38" s="729">
        <f t="shared" si="9"/>
        <v>0</v>
      </c>
      <c r="S38" s="691"/>
      <c r="T38" s="691"/>
      <c r="U38" s="691">
        <v>30</v>
      </c>
      <c r="V38" s="691">
        <v>30</v>
      </c>
      <c r="W38" s="691">
        <v>30</v>
      </c>
      <c r="Y38" s="117">
        <f>Y21-213</f>
        <v>-158</v>
      </c>
      <c r="AJ38" s="461" t="s">
        <v>369</v>
      </c>
    </row>
    <row r="39" spans="1:36">
      <c r="A39" s="100" t="s">
        <v>342</v>
      </c>
      <c r="B39" s="100"/>
      <c r="C39" s="100"/>
      <c r="D39" s="100"/>
      <c r="E39" s="100"/>
      <c r="F39" s="386"/>
      <c r="G39" s="391"/>
      <c r="H39" s="386"/>
      <c r="I39" s="386"/>
      <c r="J39" s="252">
        <f t="shared" si="8"/>
        <v>0</v>
      </c>
      <c r="K39" s="252"/>
      <c r="L39" s="252"/>
      <c r="M39" s="252"/>
      <c r="N39" s="252"/>
      <c r="O39" s="252"/>
      <c r="P39" s="252">
        <f t="shared" si="11"/>
        <v>0</v>
      </c>
      <c r="Q39" s="729"/>
      <c r="R39" s="729">
        <f t="shared" si="9"/>
        <v>0</v>
      </c>
      <c r="S39" s="691"/>
      <c r="T39" s="691"/>
      <c r="U39" s="691"/>
      <c r="V39" s="691"/>
      <c r="W39" s="691"/>
      <c r="Y39" s="117">
        <f>Y22-213</f>
        <v>312</v>
      </c>
    </row>
    <row r="40" spans="1:36">
      <c r="A40" s="259" t="s">
        <v>298</v>
      </c>
      <c r="B40" s="259"/>
      <c r="C40" s="259"/>
      <c r="D40" s="259"/>
      <c r="E40" s="259">
        <v>3</v>
      </c>
      <c r="F40" s="385"/>
      <c r="G40" s="694"/>
      <c r="H40" s="385"/>
      <c r="I40" s="385"/>
      <c r="J40" s="254">
        <f t="shared" si="8"/>
        <v>3</v>
      </c>
      <c r="K40" s="712"/>
      <c r="L40" s="712"/>
      <c r="M40" s="254"/>
      <c r="N40" s="254"/>
      <c r="O40" s="254"/>
      <c r="P40" s="254">
        <f t="shared" si="11"/>
        <v>3</v>
      </c>
      <c r="R40" s="421">
        <f t="shared" si="9"/>
        <v>0</v>
      </c>
      <c r="S40" s="484"/>
      <c r="T40" s="484"/>
      <c r="U40" s="484"/>
      <c r="V40" s="484"/>
      <c r="W40" s="484"/>
    </row>
    <row r="41" spans="1:36">
      <c r="A41" s="681" t="s">
        <v>396</v>
      </c>
      <c r="B41" s="259"/>
      <c r="C41" s="259"/>
      <c r="D41" s="259"/>
      <c r="E41" s="259"/>
      <c r="F41" s="385"/>
      <c r="G41" s="694"/>
      <c r="H41" s="385"/>
      <c r="I41" s="385"/>
      <c r="J41" s="254"/>
      <c r="K41" s="712"/>
      <c r="L41" s="712"/>
      <c r="M41" s="254"/>
      <c r="N41" s="254"/>
      <c r="O41" s="254"/>
      <c r="P41" s="254"/>
      <c r="S41" s="484"/>
      <c r="T41" s="484"/>
      <c r="U41" s="484"/>
      <c r="V41" s="484"/>
      <c r="W41" s="484"/>
    </row>
    <row r="42" spans="1:36">
      <c r="A42" s="760"/>
      <c r="B42" s="259"/>
      <c r="C42" s="259"/>
      <c r="D42" s="259"/>
      <c r="E42" s="259"/>
      <c r="F42" s="385"/>
      <c r="G42" s="694"/>
      <c r="H42" s="385"/>
      <c r="I42" s="385"/>
      <c r="J42" s="254"/>
      <c r="K42" s="712"/>
      <c r="L42" s="712"/>
      <c r="M42" s="254"/>
      <c r="N42" s="254"/>
      <c r="O42" s="254"/>
      <c r="P42" s="254"/>
      <c r="S42" s="484"/>
      <c r="T42" s="484"/>
      <c r="U42" s="484"/>
      <c r="V42" s="484"/>
      <c r="W42" s="484"/>
    </row>
    <row r="43" spans="1:36">
      <c r="A43" s="760"/>
      <c r="B43" s="259"/>
      <c r="C43" s="259"/>
      <c r="D43" s="259"/>
      <c r="E43" s="259"/>
      <c r="F43" s="385"/>
      <c r="G43" s="694"/>
      <c r="H43" s="385"/>
      <c r="I43" s="385"/>
      <c r="J43" s="254"/>
      <c r="K43" s="712"/>
      <c r="L43" s="712"/>
      <c r="M43" s="254"/>
      <c r="N43" s="254"/>
      <c r="O43" s="254"/>
      <c r="P43" s="254"/>
      <c r="S43" s="484"/>
      <c r="T43" s="484"/>
      <c r="U43" s="484"/>
      <c r="V43" s="484"/>
      <c r="W43" s="484"/>
    </row>
    <row r="44" spans="1:36">
      <c r="A44" s="259"/>
      <c r="B44" s="259"/>
      <c r="C44" s="259"/>
      <c r="D44" s="259"/>
      <c r="E44" s="259"/>
      <c r="F44" s="385"/>
      <c r="G44" s="694"/>
      <c r="H44" s="385"/>
      <c r="I44" s="385"/>
      <c r="J44" s="254"/>
      <c r="K44" s="712"/>
      <c r="L44" s="712"/>
      <c r="M44" s="254"/>
      <c r="N44" s="254"/>
      <c r="O44" s="254"/>
      <c r="P44" s="254"/>
      <c r="S44" s="484"/>
      <c r="T44" s="484"/>
      <c r="U44" s="484"/>
      <c r="V44" s="484"/>
      <c r="W44" s="484"/>
    </row>
    <row r="45" spans="1:36">
      <c r="A45" s="259"/>
      <c r="B45" s="259"/>
      <c r="C45" s="259"/>
      <c r="D45" s="259"/>
      <c r="E45" s="259"/>
      <c r="F45" s="385"/>
      <c r="G45" s="694"/>
      <c r="H45" s="385"/>
      <c r="I45" s="385"/>
      <c r="J45" s="254"/>
      <c r="K45" s="712"/>
      <c r="L45" s="712"/>
      <c r="M45" s="254"/>
      <c r="N45" s="254"/>
      <c r="O45" s="254"/>
      <c r="P45" s="254"/>
      <c r="S45" s="484"/>
      <c r="T45" s="484"/>
      <c r="U45" s="484"/>
      <c r="V45" s="484"/>
      <c r="W45" s="484"/>
    </row>
    <row r="46" spans="1:36">
      <c r="A46" s="95" t="s">
        <v>3</v>
      </c>
      <c r="B46" s="392">
        <f t="shared" ref="B46:J46" si="17">SUM(B22:B40)</f>
        <v>82</v>
      </c>
      <c r="C46" s="392">
        <f t="shared" si="17"/>
        <v>50</v>
      </c>
      <c r="D46" s="392">
        <f t="shared" si="17"/>
        <v>5</v>
      </c>
      <c r="E46" s="392">
        <f t="shared" si="17"/>
        <v>23</v>
      </c>
      <c r="F46" s="392">
        <f t="shared" si="17"/>
        <v>5</v>
      </c>
      <c r="G46" s="392">
        <f t="shared" si="17"/>
        <v>0</v>
      </c>
      <c r="H46" s="392">
        <f t="shared" si="17"/>
        <v>0</v>
      </c>
      <c r="I46" s="392">
        <f t="shared" si="17"/>
        <v>0</v>
      </c>
      <c r="J46" s="106">
        <f t="shared" si="17"/>
        <v>127</v>
      </c>
      <c r="K46" s="106">
        <f>SUM(K24:K25)</f>
        <v>0</v>
      </c>
      <c r="L46" s="106">
        <f>SUM(L24:L25)</f>
        <v>0</v>
      </c>
      <c r="M46" s="106">
        <f>SUM(M24:M25)</f>
        <v>0</v>
      </c>
      <c r="N46" s="106">
        <f>SUM(N24:N25)</f>
        <v>0</v>
      </c>
      <c r="O46" s="106">
        <f>SUM(O24:O25)</f>
        <v>0</v>
      </c>
      <c r="P46" s="715">
        <f t="shared" si="11"/>
        <v>127</v>
      </c>
      <c r="Q46" s="106">
        <f>138+24+17</f>
        <v>179</v>
      </c>
      <c r="R46" s="106">
        <f t="shared" ref="R46:W46" si="18">SUM(R22:R40)</f>
        <v>55</v>
      </c>
      <c r="S46" s="106">
        <f>SUM(S22:S40)</f>
        <v>130</v>
      </c>
      <c r="T46" s="106">
        <f t="shared" si="18"/>
        <v>130</v>
      </c>
      <c r="U46" s="106">
        <f t="shared" si="18"/>
        <v>130</v>
      </c>
      <c r="V46" s="106">
        <f t="shared" si="18"/>
        <v>130</v>
      </c>
      <c r="W46" s="106">
        <f t="shared" si="18"/>
        <v>130</v>
      </c>
      <c r="X46" s="394"/>
      <c r="Y46" s="394"/>
      <c r="Z46" s="394"/>
      <c r="AA46" s="394"/>
      <c r="AC46" s="395"/>
    </row>
    <row r="47" spans="1:36">
      <c r="A47" s="101" t="s">
        <v>11</v>
      </c>
      <c r="B47" s="101"/>
      <c r="C47" s="101"/>
      <c r="D47" s="101"/>
      <c r="E47" s="101"/>
      <c r="F47" s="118"/>
      <c r="G47" s="118"/>
      <c r="H47" s="118"/>
      <c r="I47" s="118"/>
      <c r="J47" s="174"/>
      <c r="K47" s="174"/>
      <c r="L47" s="174"/>
      <c r="M47" s="174"/>
      <c r="N47" s="174"/>
      <c r="O47" s="174"/>
      <c r="P47" s="174">
        <f>SUM(J47:O47)</f>
        <v>0</v>
      </c>
      <c r="Q47" s="491"/>
      <c r="R47" s="491"/>
      <c r="S47" s="377"/>
      <c r="T47" s="377"/>
      <c r="U47" s="377"/>
      <c r="V47" s="377"/>
      <c r="W47" s="377"/>
    </row>
    <row r="48" spans="1:36">
      <c r="A48" s="99" t="s">
        <v>90</v>
      </c>
      <c r="B48" s="99"/>
      <c r="C48" s="99"/>
      <c r="D48" s="99">
        <v>15</v>
      </c>
      <c r="E48" s="99">
        <v>15</v>
      </c>
      <c r="F48" s="388">
        <v>5</v>
      </c>
      <c r="G48" s="388"/>
      <c r="H48" s="388"/>
      <c r="I48" s="388"/>
      <c r="J48" s="716">
        <f>SUM(B48:I48)</f>
        <v>35</v>
      </c>
      <c r="K48" s="716"/>
      <c r="L48" s="716"/>
      <c r="M48" s="716"/>
      <c r="N48" s="717">
        <v>26</v>
      </c>
      <c r="O48" s="717"/>
      <c r="P48" s="254">
        <f>SUM(J48:O48)</f>
        <v>61</v>
      </c>
      <c r="R48" s="421">
        <f>B48</f>
        <v>0</v>
      </c>
      <c r="S48" s="693"/>
      <c r="T48" s="693"/>
      <c r="U48" s="693"/>
      <c r="V48" s="693"/>
      <c r="W48" s="693"/>
      <c r="AB48" s="490"/>
    </row>
    <row r="49" spans="1:36" hidden="1">
      <c r="A49" s="103" t="s">
        <v>91</v>
      </c>
      <c r="B49" s="103"/>
      <c r="C49" s="103"/>
      <c r="D49" s="103"/>
      <c r="E49" s="103"/>
      <c r="F49" s="367"/>
      <c r="G49" s="367"/>
      <c r="H49" s="367"/>
      <c r="I49" s="367"/>
      <c r="J49" s="107">
        <f>SUM(C49:I49)</f>
        <v>0</v>
      </c>
      <c r="K49" s="107"/>
      <c r="L49" s="107"/>
      <c r="M49" s="107"/>
      <c r="N49" s="714">
        <v>12</v>
      </c>
      <c r="O49" s="107"/>
      <c r="P49" s="107">
        <f>SUM(J49:O49)</f>
        <v>12</v>
      </c>
      <c r="S49" s="692"/>
      <c r="T49" s="692"/>
      <c r="U49" s="692"/>
      <c r="V49" s="692"/>
      <c r="W49" s="692"/>
    </row>
    <row r="50" spans="1:36">
      <c r="A50" s="95" t="s">
        <v>3</v>
      </c>
      <c r="B50" s="392">
        <f t="shared" ref="B50:O50" si="19">SUM(B48:B49)</f>
        <v>0</v>
      </c>
      <c r="C50" s="392">
        <f t="shared" si="19"/>
        <v>0</v>
      </c>
      <c r="D50" s="392">
        <f t="shared" si="19"/>
        <v>15</v>
      </c>
      <c r="E50" s="392">
        <f t="shared" si="19"/>
        <v>15</v>
      </c>
      <c r="F50" s="392">
        <f t="shared" si="19"/>
        <v>5</v>
      </c>
      <c r="G50" s="392">
        <f t="shared" si="19"/>
        <v>0</v>
      </c>
      <c r="H50" s="392">
        <f t="shared" si="19"/>
        <v>0</v>
      </c>
      <c r="I50" s="392">
        <f t="shared" si="19"/>
        <v>0</v>
      </c>
      <c r="J50" s="106">
        <f t="shared" si="19"/>
        <v>35</v>
      </c>
      <c r="K50" s="106">
        <f t="shared" si="19"/>
        <v>0</v>
      </c>
      <c r="L50" s="106">
        <f t="shared" si="19"/>
        <v>0</v>
      </c>
      <c r="M50" s="106">
        <f t="shared" si="19"/>
        <v>0</v>
      </c>
      <c r="N50" s="106">
        <f t="shared" si="19"/>
        <v>38</v>
      </c>
      <c r="O50" s="106">
        <f t="shared" si="19"/>
        <v>0</v>
      </c>
      <c r="P50" s="715">
        <f>SUM(J50:O50)</f>
        <v>73</v>
      </c>
      <c r="Q50" s="491"/>
      <c r="R50" s="106">
        <f t="shared" ref="R50" si="20">SUM(R48:R49)</f>
        <v>0</v>
      </c>
      <c r="S50" s="377"/>
      <c r="T50" s="377"/>
      <c r="U50" s="377"/>
      <c r="V50" s="377"/>
      <c r="W50" s="377"/>
      <c r="X50" s="394"/>
      <c r="Y50" s="394"/>
      <c r="Z50" s="394"/>
    </row>
    <row r="51" spans="1:36">
      <c r="A51" s="101" t="s">
        <v>16</v>
      </c>
      <c r="B51" s="101"/>
      <c r="C51" s="101"/>
      <c r="D51" s="101"/>
      <c r="E51" s="101"/>
      <c r="F51" s="118"/>
      <c r="G51" s="118"/>
      <c r="H51" s="118"/>
      <c r="I51" s="118"/>
      <c r="J51" s="174"/>
      <c r="K51" s="174"/>
      <c r="L51" s="174"/>
      <c r="M51" s="174"/>
      <c r="N51" s="174"/>
      <c r="O51" s="174"/>
      <c r="P51" s="174">
        <f t="shared" si="11"/>
        <v>0</v>
      </c>
      <c r="Q51" s="491"/>
      <c r="R51" s="491"/>
      <c r="S51" s="377"/>
      <c r="T51" s="377"/>
      <c r="U51" s="377"/>
      <c r="V51" s="377"/>
      <c r="W51" s="377"/>
      <c r="AJ51" s="461" t="s">
        <v>364</v>
      </c>
    </row>
    <row r="52" spans="1:36">
      <c r="A52" s="398" t="s">
        <v>17</v>
      </c>
      <c r="B52" s="398"/>
      <c r="C52" s="398"/>
      <c r="D52" s="398"/>
      <c r="E52" s="398"/>
      <c r="F52" s="383">
        <v>2</v>
      </c>
      <c r="G52" s="383"/>
      <c r="H52" s="383"/>
      <c r="I52" s="383"/>
      <c r="J52" s="662">
        <f>SUM(B52:I52)</f>
        <v>2</v>
      </c>
      <c r="K52" s="662"/>
      <c r="L52" s="662"/>
      <c r="M52" s="662"/>
      <c r="N52" s="734">
        <v>26</v>
      </c>
      <c r="O52" s="734"/>
      <c r="P52" s="662">
        <f t="shared" si="11"/>
        <v>28</v>
      </c>
      <c r="Q52" s="700"/>
      <c r="R52" s="700">
        <f>B52</f>
        <v>0</v>
      </c>
      <c r="S52" s="735"/>
      <c r="T52" s="735"/>
      <c r="U52" s="735"/>
      <c r="V52" s="735"/>
      <c r="W52" s="735"/>
      <c r="AB52" s="490"/>
    </row>
    <row r="53" spans="1:36">
      <c r="A53" s="259" t="s">
        <v>367</v>
      </c>
      <c r="B53" s="259"/>
      <c r="C53" s="259"/>
      <c r="D53" s="259"/>
      <c r="E53" s="259"/>
      <c r="F53" s="385"/>
      <c r="G53" s="385"/>
      <c r="H53" s="385"/>
      <c r="I53" s="385"/>
      <c r="J53" s="254">
        <v>0</v>
      </c>
      <c r="K53" s="254"/>
      <c r="L53" s="254"/>
      <c r="M53" s="254"/>
      <c r="N53" s="712"/>
      <c r="O53" s="712"/>
      <c r="P53" s="254"/>
      <c r="Q53" s="492"/>
      <c r="R53" s="492">
        <v>0</v>
      </c>
      <c r="S53" s="484">
        <v>30</v>
      </c>
      <c r="T53" s="484">
        <v>30</v>
      </c>
      <c r="U53" s="484">
        <v>30</v>
      </c>
      <c r="V53" s="484">
        <v>30</v>
      </c>
      <c r="W53" s="484">
        <v>30</v>
      </c>
      <c r="AB53" s="490"/>
    </row>
    <row r="54" spans="1:36">
      <c r="A54" s="259" t="s">
        <v>368</v>
      </c>
      <c r="B54" s="259"/>
      <c r="C54" s="259"/>
      <c r="D54" s="259"/>
      <c r="E54" s="259"/>
      <c r="F54" s="385"/>
      <c r="G54" s="385"/>
      <c r="H54" s="385"/>
      <c r="I54" s="385"/>
      <c r="J54" s="254">
        <v>0</v>
      </c>
      <c r="K54" s="254"/>
      <c r="L54" s="254"/>
      <c r="M54" s="254"/>
      <c r="N54" s="712"/>
      <c r="O54" s="712"/>
      <c r="P54" s="254"/>
      <c r="Q54" s="492"/>
      <c r="R54" s="492">
        <v>0</v>
      </c>
      <c r="S54" s="484">
        <v>30</v>
      </c>
      <c r="T54" s="484">
        <v>30</v>
      </c>
      <c r="U54" s="484">
        <v>30</v>
      </c>
      <c r="V54" s="484">
        <v>30</v>
      </c>
      <c r="W54" s="484">
        <v>30</v>
      </c>
      <c r="AB54" s="490"/>
    </row>
    <row r="55" spans="1:36">
      <c r="A55" s="259"/>
      <c r="B55" s="259"/>
      <c r="C55" s="259"/>
      <c r="D55" s="259"/>
      <c r="E55" s="259"/>
      <c r="F55" s="385"/>
      <c r="G55" s="385"/>
      <c r="H55" s="385"/>
      <c r="I55" s="385"/>
      <c r="J55" s="254"/>
      <c r="K55" s="254"/>
      <c r="L55" s="254"/>
      <c r="M55" s="254"/>
      <c r="N55" s="712"/>
      <c r="O55" s="254"/>
      <c r="P55" s="254"/>
      <c r="S55" s="484"/>
      <c r="T55" s="484"/>
      <c r="U55" s="484"/>
      <c r="V55" s="484"/>
      <c r="W55" s="484"/>
    </row>
    <row r="56" spans="1:36">
      <c r="A56" s="95" t="s">
        <v>3</v>
      </c>
      <c r="B56" s="392">
        <f t="shared" ref="B56:O56" si="21">SUM(B52:B55)</f>
        <v>0</v>
      </c>
      <c r="C56" s="392">
        <f t="shared" si="21"/>
        <v>0</v>
      </c>
      <c r="D56" s="392">
        <f t="shared" si="21"/>
        <v>0</v>
      </c>
      <c r="E56" s="392">
        <f t="shared" si="21"/>
        <v>0</v>
      </c>
      <c r="F56" s="392">
        <f t="shared" si="21"/>
        <v>2</v>
      </c>
      <c r="G56" s="392">
        <f t="shared" si="21"/>
        <v>0</v>
      </c>
      <c r="H56" s="392">
        <f t="shared" si="21"/>
        <v>0</v>
      </c>
      <c r="I56" s="392">
        <f t="shared" si="21"/>
        <v>0</v>
      </c>
      <c r="J56" s="106">
        <f>SUM(J52:J55)</f>
        <v>2</v>
      </c>
      <c r="K56" s="106">
        <f t="shared" si="21"/>
        <v>0</v>
      </c>
      <c r="L56" s="106">
        <f t="shared" si="21"/>
        <v>0</v>
      </c>
      <c r="M56" s="106">
        <f t="shared" si="21"/>
        <v>0</v>
      </c>
      <c r="N56" s="106">
        <f t="shared" si="21"/>
        <v>26</v>
      </c>
      <c r="O56" s="106">
        <f t="shared" si="21"/>
        <v>0</v>
      </c>
      <c r="P56" s="715">
        <f t="shared" si="11"/>
        <v>28</v>
      </c>
      <c r="Q56" s="491"/>
      <c r="R56" s="106">
        <f>SUM(R52:R55)</f>
        <v>0</v>
      </c>
      <c r="S56" s="106">
        <f t="shared" ref="S56:W56" si="22">SUM(S52:S55)</f>
        <v>60</v>
      </c>
      <c r="T56" s="106">
        <f t="shared" si="22"/>
        <v>60</v>
      </c>
      <c r="U56" s="106">
        <f t="shared" si="22"/>
        <v>60</v>
      </c>
      <c r="V56" s="106">
        <f t="shared" si="22"/>
        <v>60</v>
      </c>
      <c r="W56" s="106">
        <f t="shared" si="22"/>
        <v>60</v>
      </c>
      <c r="X56" s="394"/>
      <c r="Y56" s="394"/>
      <c r="Z56" s="394"/>
    </row>
    <row r="57" spans="1:36">
      <c r="A57" s="101" t="s">
        <v>19</v>
      </c>
      <c r="B57" s="101"/>
      <c r="C57" s="101"/>
      <c r="D57" s="101"/>
      <c r="E57" s="101"/>
      <c r="F57" s="118"/>
      <c r="G57" s="118"/>
      <c r="H57" s="118"/>
      <c r="I57" s="118"/>
      <c r="J57" s="174"/>
      <c r="K57" s="174"/>
      <c r="L57" s="174"/>
      <c r="M57" s="174"/>
      <c r="N57" s="174"/>
      <c r="O57" s="174"/>
      <c r="P57" s="174">
        <f t="shared" si="11"/>
        <v>0</v>
      </c>
      <c r="Q57" s="491"/>
      <c r="R57" s="491"/>
      <c r="S57" s="377"/>
      <c r="T57" s="377"/>
      <c r="U57" s="377"/>
      <c r="V57" s="377"/>
      <c r="W57" s="377"/>
    </row>
    <row r="58" spans="1:36" hidden="1">
      <c r="A58" s="99" t="s">
        <v>20</v>
      </c>
      <c r="B58" s="99"/>
      <c r="C58" s="99"/>
      <c r="D58" s="99"/>
      <c r="E58" s="99"/>
      <c r="F58" s="388"/>
      <c r="G58" s="388"/>
      <c r="H58" s="388"/>
      <c r="I58" s="388"/>
      <c r="J58" s="716"/>
      <c r="K58" s="716"/>
      <c r="L58" s="716"/>
      <c r="M58" s="716"/>
      <c r="N58" s="716"/>
      <c r="O58" s="716"/>
      <c r="P58" s="254">
        <f t="shared" si="11"/>
        <v>0</v>
      </c>
      <c r="S58" s="693"/>
      <c r="T58" s="693"/>
      <c r="U58" s="693"/>
      <c r="V58" s="693"/>
      <c r="W58" s="693"/>
    </row>
    <row r="59" spans="1:36">
      <c r="A59" s="100" t="s">
        <v>4</v>
      </c>
      <c r="B59" s="100">
        <v>31</v>
      </c>
      <c r="C59" s="100">
        <v>30</v>
      </c>
      <c r="D59" s="100">
        <v>26</v>
      </c>
      <c r="E59" s="100">
        <v>21</v>
      </c>
      <c r="F59" s="386">
        <f>19+7</f>
        <v>26</v>
      </c>
      <c r="G59" s="386"/>
      <c r="H59" s="386"/>
      <c r="I59" s="386"/>
      <c r="J59" s="252">
        <f>SUM(B59:I59)</f>
        <v>134</v>
      </c>
      <c r="K59" s="252"/>
      <c r="L59" s="713">
        <v>28</v>
      </c>
      <c r="M59" s="252"/>
      <c r="N59" s="252"/>
      <c r="O59" s="252"/>
      <c r="P59" s="107">
        <f t="shared" si="11"/>
        <v>162</v>
      </c>
      <c r="R59" s="421">
        <f t="shared" ref="R59:R69" si="23">B59</f>
        <v>31</v>
      </c>
      <c r="S59" s="691">
        <v>45</v>
      </c>
      <c r="T59" s="691">
        <v>45</v>
      </c>
      <c r="U59" s="691">
        <v>45</v>
      </c>
      <c r="V59" s="691">
        <v>45</v>
      </c>
      <c r="W59" s="691">
        <v>45</v>
      </c>
      <c r="X59" s="461"/>
      <c r="AD59" s="169"/>
      <c r="AE59" s="169">
        <f>J64+J69</f>
        <v>212</v>
      </c>
      <c r="AF59" s="169">
        <f>J68</f>
        <v>0</v>
      </c>
      <c r="AG59" s="169">
        <f>SUM(AD59:AF59)</f>
        <v>212</v>
      </c>
      <c r="AJ59" s="461" t="s">
        <v>364</v>
      </c>
    </row>
    <row r="60" spans="1:36" hidden="1">
      <c r="A60" s="103" t="s">
        <v>21</v>
      </c>
      <c r="B60" s="103"/>
      <c r="C60" s="103"/>
      <c r="D60" s="103"/>
      <c r="E60" s="103"/>
      <c r="F60" s="367"/>
      <c r="G60" s="367"/>
      <c r="H60" s="367"/>
      <c r="I60" s="367"/>
      <c r="J60" s="107"/>
      <c r="K60" s="107"/>
      <c r="L60" s="107"/>
      <c r="M60" s="107"/>
      <c r="N60" s="107"/>
      <c r="O60" s="107"/>
      <c r="P60" s="107">
        <f t="shared" si="11"/>
        <v>0</v>
      </c>
      <c r="R60" s="421">
        <f t="shared" si="23"/>
        <v>0</v>
      </c>
      <c r="S60" s="692"/>
      <c r="T60" s="692"/>
      <c r="U60" s="692"/>
      <c r="V60" s="692"/>
      <c r="W60" s="692"/>
    </row>
    <row r="61" spans="1:36">
      <c r="A61" s="100" t="s">
        <v>76</v>
      </c>
      <c r="B61" s="100">
        <v>18</v>
      </c>
      <c r="C61" s="100">
        <v>25</v>
      </c>
      <c r="D61" s="100">
        <v>23</v>
      </c>
      <c r="E61" s="100">
        <v>24</v>
      </c>
      <c r="F61" s="386">
        <v>1</v>
      </c>
      <c r="G61" s="386"/>
      <c r="H61" s="386"/>
      <c r="I61" s="386"/>
      <c r="J61" s="252">
        <f>SUM(B61:I61)</f>
        <v>91</v>
      </c>
      <c r="K61" s="252"/>
      <c r="L61" s="713">
        <v>28</v>
      </c>
      <c r="M61" s="252"/>
      <c r="N61" s="252"/>
      <c r="O61" s="252"/>
      <c r="P61" s="252">
        <f>SUM(J61:O61)</f>
        <v>119</v>
      </c>
      <c r="Q61" s="729"/>
      <c r="R61" s="729">
        <f t="shared" si="23"/>
        <v>18</v>
      </c>
      <c r="S61" s="691">
        <v>50</v>
      </c>
      <c r="T61" s="691">
        <v>50</v>
      </c>
      <c r="U61" s="691">
        <v>50</v>
      </c>
      <c r="V61" s="691">
        <v>50</v>
      </c>
      <c r="W61" s="691">
        <v>50</v>
      </c>
    </row>
    <row r="62" spans="1:36" hidden="1">
      <c r="A62" s="100" t="s">
        <v>24</v>
      </c>
      <c r="B62" s="100"/>
      <c r="C62" s="100"/>
      <c r="D62" s="100"/>
      <c r="E62" s="100"/>
      <c r="F62" s="386"/>
      <c r="G62" s="386"/>
      <c r="H62" s="386"/>
      <c r="I62" s="386"/>
      <c r="J62" s="252">
        <f>SUM(B62:I62)</f>
        <v>0</v>
      </c>
      <c r="K62" s="252"/>
      <c r="L62" s="713">
        <v>28</v>
      </c>
      <c r="M62" s="252"/>
      <c r="N62" s="252"/>
      <c r="O62" s="252"/>
      <c r="P62" s="252">
        <f>SUM(J62:O62)</f>
        <v>28</v>
      </c>
      <c r="Q62" s="729"/>
      <c r="R62" s="729">
        <f t="shared" si="23"/>
        <v>0</v>
      </c>
      <c r="S62" s="691"/>
      <c r="T62" s="691"/>
      <c r="U62" s="691"/>
      <c r="V62" s="691"/>
      <c r="W62" s="691"/>
    </row>
    <row r="63" spans="1:36">
      <c r="A63" s="100" t="s">
        <v>122</v>
      </c>
      <c r="B63" s="100">
        <v>15</v>
      </c>
      <c r="C63" s="100">
        <v>17</v>
      </c>
      <c r="D63" s="100">
        <v>14</v>
      </c>
      <c r="E63" s="100"/>
      <c r="F63" s="386">
        <v>7</v>
      </c>
      <c r="G63" s="386"/>
      <c r="H63" s="386"/>
      <c r="I63" s="386"/>
      <c r="J63" s="252">
        <f>SUM(B63:I63)</f>
        <v>53</v>
      </c>
      <c r="K63" s="713"/>
      <c r="L63" s="713"/>
      <c r="M63" s="252"/>
      <c r="N63" s="252"/>
      <c r="O63" s="252"/>
      <c r="P63" s="252">
        <f>SUM(J63:O63)</f>
        <v>53</v>
      </c>
      <c r="Q63" s="729" t="s">
        <v>41</v>
      </c>
      <c r="R63" s="729">
        <f t="shared" si="23"/>
        <v>15</v>
      </c>
      <c r="S63" s="691">
        <v>20</v>
      </c>
      <c r="T63" s="691">
        <v>20</v>
      </c>
      <c r="U63" s="691">
        <v>20</v>
      </c>
      <c r="V63" s="691">
        <v>20</v>
      </c>
      <c r="W63" s="691">
        <v>20</v>
      </c>
    </row>
    <row r="64" spans="1:36">
      <c r="A64" s="100" t="s">
        <v>168</v>
      </c>
      <c r="B64" s="100">
        <v>42</v>
      </c>
      <c r="C64" s="100"/>
      <c r="D64" s="100">
        <v>21</v>
      </c>
      <c r="E64" s="100">
        <v>20</v>
      </c>
      <c r="F64" s="386">
        <v>7</v>
      </c>
      <c r="G64" s="386"/>
      <c r="H64" s="386"/>
      <c r="I64" s="386"/>
      <c r="J64" s="252">
        <f>SUM(B64:I64)</f>
        <v>90</v>
      </c>
      <c r="K64" s="713">
        <v>21</v>
      </c>
      <c r="L64" s="713">
        <v>18</v>
      </c>
      <c r="M64" s="252">
        <v>1</v>
      </c>
      <c r="N64" s="252">
        <v>2</v>
      </c>
      <c r="O64" s="252"/>
      <c r="P64" s="252">
        <f t="shared" si="11"/>
        <v>132</v>
      </c>
      <c r="Q64" s="729" t="s">
        <v>41</v>
      </c>
      <c r="R64" s="729">
        <f t="shared" si="23"/>
        <v>42</v>
      </c>
      <c r="S64" s="691">
        <v>40</v>
      </c>
      <c r="T64" s="691">
        <v>40</v>
      </c>
      <c r="U64" s="691">
        <v>40</v>
      </c>
      <c r="V64" s="691">
        <v>40</v>
      </c>
      <c r="W64" s="691">
        <v>40</v>
      </c>
    </row>
    <row r="65" spans="1:36" hidden="1">
      <c r="A65" s="99" t="s">
        <v>23</v>
      </c>
      <c r="B65" s="99"/>
      <c r="C65" s="99"/>
      <c r="D65" s="99"/>
      <c r="E65" s="99"/>
      <c r="F65" s="388"/>
      <c r="G65" s="388"/>
      <c r="H65" s="388"/>
      <c r="I65" s="388"/>
      <c r="J65" s="716">
        <f>SUM(C65:G65)</f>
        <v>0</v>
      </c>
      <c r="K65" s="716"/>
      <c r="L65" s="716"/>
      <c r="M65" s="716"/>
      <c r="N65" s="716"/>
      <c r="O65" s="716"/>
      <c r="P65" s="254">
        <f t="shared" si="11"/>
        <v>0</v>
      </c>
      <c r="R65" s="421">
        <f t="shared" si="23"/>
        <v>0</v>
      </c>
      <c r="S65" s="693"/>
      <c r="T65" s="693"/>
      <c r="U65" s="693"/>
      <c r="V65" s="693"/>
      <c r="W65" s="693"/>
    </row>
    <row r="66" spans="1:36" hidden="1">
      <c r="A66" s="100" t="s">
        <v>24</v>
      </c>
      <c r="B66" s="100"/>
      <c r="C66" s="100"/>
      <c r="D66" s="100"/>
      <c r="E66" s="100"/>
      <c r="F66" s="386"/>
      <c r="G66" s="386"/>
      <c r="H66" s="386"/>
      <c r="I66" s="386"/>
      <c r="J66" s="252">
        <f>SUM(C66:G66)</f>
        <v>0</v>
      </c>
      <c r="K66" s="252"/>
      <c r="L66" s="252"/>
      <c r="M66" s="713">
        <v>12</v>
      </c>
      <c r="N66" s="252"/>
      <c r="O66" s="252"/>
      <c r="P66" s="107">
        <f t="shared" si="11"/>
        <v>12</v>
      </c>
      <c r="R66" s="421">
        <f t="shared" si="23"/>
        <v>0</v>
      </c>
      <c r="S66" s="691"/>
      <c r="T66" s="691"/>
      <c r="U66" s="691"/>
      <c r="V66" s="691"/>
      <c r="W66" s="691"/>
    </row>
    <row r="67" spans="1:36" hidden="1">
      <c r="A67" s="100" t="s">
        <v>110</v>
      </c>
      <c r="B67" s="100"/>
      <c r="C67" s="100"/>
      <c r="D67" s="100"/>
      <c r="E67" s="100"/>
      <c r="F67" s="386"/>
      <c r="G67" s="386"/>
      <c r="H67" s="386"/>
      <c r="I67" s="386"/>
      <c r="J67" s="252">
        <f>SUM(C67:G67)</f>
        <v>0</v>
      </c>
      <c r="K67" s="718">
        <v>162</v>
      </c>
      <c r="L67" s="252"/>
      <c r="M67" s="252">
        <v>97</v>
      </c>
      <c r="N67" s="252"/>
      <c r="O67" s="252"/>
      <c r="P67" s="107">
        <f t="shared" si="11"/>
        <v>259</v>
      </c>
      <c r="R67" s="421">
        <f t="shared" si="23"/>
        <v>0</v>
      </c>
      <c r="S67" s="691"/>
      <c r="T67" s="691"/>
      <c r="U67" s="691"/>
      <c r="V67" s="691"/>
      <c r="W67" s="691"/>
    </row>
    <row r="68" spans="1:36" hidden="1">
      <c r="A68" s="100" t="s">
        <v>144</v>
      </c>
      <c r="B68" s="100"/>
      <c r="C68" s="100"/>
      <c r="D68" s="100"/>
      <c r="E68" s="100"/>
      <c r="F68" s="386"/>
      <c r="G68" s="386"/>
      <c r="H68" s="386"/>
      <c r="I68" s="386"/>
      <c r="J68" s="252">
        <f>SUM(C68:I68)</f>
        <v>0</v>
      </c>
      <c r="K68" s="713">
        <v>69</v>
      </c>
      <c r="L68" s="713"/>
      <c r="M68" s="713"/>
      <c r="N68" s="713"/>
      <c r="O68" s="713"/>
      <c r="P68" s="107">
        <f t="shared" si="11"/>
        <v>69</v>
      </c>
      <c r="R68" s="421">
        <f t="shared" si="23"/>
        <v>0</v>
      </c>
      <c r="S68" s="691"/>
      <c r="T68" s="691"/>
      <c r="U68" s="691"/>
      <c r="V68" s="691"/>
      <c r="W68" s="691"/>
    </row>
    <row r="69" spans="1:36">
      <c r="A69" s="103" t="s">
        <v>25</v>
      </c>
      <c r="B69" s="103"/>
      <c r="C69" s="103">
        <v>48</v>
      </c>
      <c r="D69" s="103">
        <v>41</v>
      </c>
      <c r="E69" s="103">
        <v>17</v>
      </c>
      <c r="F69" s="367">
        <v>16</v>
      </c>
      <c r="G69" s="367"/>
      <c r="H69" s="367"/>
      <c r="I69" s="367"/>
      <c r="J69" s="107">
        <f>SUM(B69:I69)</f>
        <v>122</v>
      </c>
      <c r="K69" s="714">
        <v>35</v>
      </c>
      <c r="L69" s="714">
        <v>98</v>
      </c>
      <c r="M69" s="714">
        <v>34</v>
      </c>
      <c r="N69" s="714">
        <v>14</v>
      </c>
      <c r="O69" s="714"/>
      <c r="P69" s="107">
        <f t="shared" si="11"/>
        <v>303</v>
      </c>
      <c r="R69" s="421">
        <f t="shared" si="23"/>
        <v>0</v>
      </c>
      <c r="S69" s="692">
        <v>60</v>
      </c>
      <c r="T69" s="736">
        <v>0</v>
      </c>
      <c r="U69" s="736">
        <v>0</v>
      </c>
      <c r="V69" s="736">
        <v>0</v>
      </c>
      <c r="W69" s="736">
        <v>0</v>
      </c>
    </row>
    <row r="70" spans="1:36">
      <c r="A70" s="95" t="s">
        <v>3</v>
      </c>
      <c r="B70" s="392">
        <f>SUM(B58:B69)</f>
        <v>106</v>
      </c>
      <c r="C70" s="392">
        <f>SUM(C58:C69)</f>
        <v>120</v>
      </c>
      <c r="D70" s="392">
        <f t="shared" ref="D70:O70" si="24">SUM(D58:D69)</f>
        <v>125</v>
      </c>
      <c r="E70" s="392">
        <f t="shared" si="24"/>
        <v>82</v>
      </c>
      <c r="F70" s="392">
        <f t="shared" si="24"/>
        <v>57</v>
      </c>
      <c r="G70" s="392">
        <f t="shared" si="24"/>
        <v>0</v>
      </c>
      <c r="H70" s="392">
        <f t="shared" si="24"/>
        <v>0</v>
      </c>
      <c r="I70" s="392">
        <f t="shared" si="24"/>
        <v>0</v>
      </c>
      <c r="J70" s="106">
        <f>SUM(J58:J69)</f>
        <v>490</v>
      </c>
      <c r="K70" s="106">
        <f t="shared" si="24"/>
        <v>287</v>
      </c>
      <c r="L70" s="106">
        <f t="shared" si="24"/>
        <v>200</v>
      </c>
      <c r="M70" s="106">
        <f t="shared" si="24"/>
        <v>144</v>
      </c>
      <c r="N70" s="106">
        <f t="shared" si="24"/>
        <v>16</v>
      </c>
      <c r="O70" s="106">
        <f t="shared" si="24"/>
        <v>0</v>
      </c>
      <c r="P70" s="715">
        <f t="shared" si="11"/>
        <v>1137</v>
      </c>
      <c r="Q70" s="106">
        <f>26+48+23+18+56+38</f>
        <v>209</v>
      </c>
      <c r="R70" s="106">
        <f>SUM(R58:R69)</f>
        <v>106</v>
      </c>
      <c r="S70" s="106">
        <f t="shared" ref="S70:W70" si="25">SUM(S58:S69)</f>
        <v>215</v>
      </c>
      <c r="T70" s="106">
        <f t="shared" si="25"/>
        <v>155</v>
      </c>
      <c r="U70" s="106">
        <f t="shared" si="25"/>
        <v>155</v>
      </c>
      <c r="V70" s="106">
        <f t="shared" si="25"/>
        <v>155</v>
      </c>
      <c r="W70" s="106">
        <f t="shared" si="25"/>
        <v>155</v>
      </c>
      <c r="X70" s="394">
        <f>H70</f>
        <v>0</v>
      </c>
      <c r="Y70" s="394"/>
      <c r="Z70" s="394"/>
      <c r="AA70" s="394"/>
      <c r="AB70" s="169">
        <f>J70+J92</f>
        <v>1123</v>
      </c>
      <c r="AC70" s="169">
        <f>J68+J69+J72</f>
        <v>403</v>
      </c>
    </row>
    <row r="71" spans="1:36">
      <c r="A71" s="382" t="s">
        <v>26</v>
      </c>
      <c r="B71" s="404"/>
      <c r="C71" s="404"/>
      <c r="D71" s="404"/>
      <c r="E71" s="404"/>
      <c r="F71" s="385"/>
      <c r="G71" s="385"/>
      <c r="H71" s="385"/>
      <c r="I71" s="385"/>
      <c r="J71" s="254"/>
      <c r="K71" s="254"/>
      <c r="L71" s="254"/>
      <c r="M71" s="254"/>
      <c r="N71" s="254"/>
      <c r="O71" s="254"/>
      <c r="P71" s="254">
        <f t="shared" si="11"/>
        <v>0</v>
      </c>
      <c r="S71" s="484"/>
      <c r="T71" s="484"/>
      <c r="U71" s="484"/>
      <c r="V71" s="484"/>
      <c r="W71" s="484"/>
    </row>
    <row r="72" spans="1:36">
      <c r="A72" s="100" t="s">
        <v>123</v>
      </c>
      <c r="B72" s="100">
        <v>42</v>
      </c>
      <c r="C72" s="100">
        <v>87</v>
      </c>
      <c r="D72" s="100">
        <v>55</v>
      </c>
      <c r="E72" s="100">
        <v>79</v>
      </c>
      <c r="F72" s="386">
        <v>18</v>
      </c>
      <c r="G72" s="386"/>
      <c r="H72" s="386"/>
      <c r="I72" s="386"/>
      <c r="J72" s="252">
        <f>SUM(B72:I74)</f>
        <v>281</v>
      </c>
      <c r="K72" s="713">
        <v>69</v>
      </c>
      <c r="L72" s="713"/>
      <c r="M72" s="713"/>
      <c r="N72" s="713"/>
      <c r="O72" s="713"/>
      <c r="P72" s="252">
        <f t="shared" si="11"/>
        <v>350</v>
      </c>
      <c r="Q72" s="729"/>
      <c r="R72" s="729">
        <f t="shared" ref="R72:R89" si="26">B72</f>
        <v>42</v>
      </c>
      <c r="S72" s="738">
        <v>80</v>
      </c>
      <c r="T72" s="738">
        <v>80</v>
      </c>
      <c r="U72" s="738">
        <v>80</v>
      </c>
      <c r="V72" s="738">
        <v>80</v>
      </c>
      <c r="W72" s="738">
        <v>80</v>
      </c>
      <c r="AB72" s="405" t="s">
        <v>149</v>
      </c>
      <c r="AC72" s="406" t="s">
        <v>158</v>
      </c>
      <c r="AD72" s="407"/>
      <c r="AJ72" s="461" t="s">
        <v>364</v>
      </c>
    </row>
    <row r="73" spans="1:36" hidden="1">
      <c r="A73" s="100" t="s">
        <v>118</v>
      </c>
      <c r="B73" s="100"/>
      <c r="C73" s="100"/>
      <c r="D73" s="100"/>
      <c r="E73" s="100"/>
      <c r="F73" s="386"/>
      <c r="G73" s="386"/>
      <c r="H73" s="386"/>
      <c r="I73" s="386"/>
      <c r="J73" s="252"/>
      <c r="K73" s="713"/>
      <c r="L73" s="713">
        <v>126</v>
      </c>
      <c r="M73" s="713">
        <v>48</v>
      </c>
      <c r="N73" s="713">
        <v>49</v>
      </c>
      <c r="O73" s="713"/>
      <c r="P73" s="252">
        <f t="shared" si="11"/>
        <v>223</v>
      </c>
      <c r="Q73" s="729"/>
      <c r="R73" s="729">
        <f t="shared" si="26"/>
        <v>0</v>
      </c>
      <c r="S73" s="691"/>
      <c r="T73" s="691"/>
      <c r="U73" s="691"/>
      <c r="V73" s="691"/>
      <c r="W73" s="691"/>
      <c r="AB73" s="408"/>
      <c r="AC73" s="409"/>
      <c r="AD73" s="410"/>
    </row>
    <row r="74" spans="1:36" hidden="1">
      <c r="A74" s="100" t="s">
        <v>68</v>
      </c>
      <c r="B74" s="100"/>
      <c r="C74" s="100"/>
      <c r="D74" s="100"/>
      <c r="E74" s="100"/>
      <c r="F74" s="386"/>
      <c r="G74" s="386"/>
      <c r="H74" s="386"/>
      <c r="I74" s="386"/>
      <c r="J74" s="252"/>
      <c r="K74" s="252"/>
      <c r="L74" s="713"/>
      <c r="M74" s="252"/>
      <c r="N74" s="252"/>
      <c r="O74" s="252"/>
      <c r="P74" s="252">
        <f t="shared" si="11"/>
        <v>0</v>
      </c>
      <c r="Q74" s="729" t="s">
        <v>70</v>
      </c>
      <c r="R74" s="729">
        <f t="shared" si="26"/>
        <v>0</v>
      </c>
      <c r="S74" s="691"/>
      <c r="T74" s="691"/>
      <c r="U74" s="691"/>
      <c r="V74" s="691"/>
      <c r="W74" s="691"/>
      <c r="AB74" s="408"/>
      <c r="AC74" s="409"/>
      <c r="AD74" s="410"/>
    </row>
    <row r="75" spans="1:36">
      <c r="A75" s="100" t="s">
        <v>146</v>
      </c>
      <c r="B75" s="100"/>
      <c r="C75" s="100"/>
      <c r="D75" s="100"/>
      <c r="E75" s="100"/>
      <c r="F75" s="386">
        <v>1</v>
      </c>
      <c r="G75" s="386"/>
      <c r="H75" s="386"/>
      <c r="I75" s="386"/>
      <c r="J75" s="252">
        <f>SUM(B75:I75)</f>
        <v>1</v>
      </c>
      <c r="K75" s="252"/>
      <c r="L75" s="252"/>
      <c r="M75" s="252"/>
      <c r="N75" s="252"/>
      <c r="O75" s="252"/>
      <c r="P75" s="252">
        <f t="shared" si="11"/>
        <v>1</v>
      </c>
      <c r="Q75" s="729"/>
      <c r="R75" s="729">
        <f t="shared" si="26"/>
        <v>0</v>
      </c>
      <c r="S75" s="739">
        <v>0</v>
      </c>
      <c r="T75" s="739">
        <v>0</v>
      </c>
      <c r="U75" s="739">
        <v>0</v>
      </c>
      <c r="V75" s="739">
        <v>0</v>
      </c>
      <c r="W75" s="739">
        <v>0</v>
      </c>
      <c r="AB75" s="261"/>
    </row>
    <row r="76" spans="1:36" hidden="1">
      <c r="A76" s="100" t="s">
        <v>124</v>
      </c>
      <c r="B76" s="100"/>
      <c r="C76" s="100"/>
      <c r="D76" s="100"/>
      <c r="E76" s="100"/>
      <c r="F76" s="386"/>
      <c r="G76" s="386"/>
      <c r="H76" s="386"/>
      <c r="I76" s="386"/>
      <c r="J76" s="252">
        <f>SUM(C76:H76)</f>
        <v>0</v>
      </c>
      <c r="K76" s="713">
        <v>128</v>
      </c>
      <c r="L76" s="713">
        <v>122</v>
      </c>
      <c r="M76" s="713">
        <v>11</v>
      </c>
      <c r="N76" s="252">
        <v>7</v>
      </c>
      <c r="O76" s="713"/>
      <c r="P76" s="252">
        <f t="shared" si="11"/>
        <v>268</v>
      </c>
      <c r="Q76" s="729"/>
      <c r="R76" s="729">
        <f t="shared" si="26"/>
        <v>0</v>
      </c>
      <c r="S76" s="691"/>
      <c r="T76" s="691"/>
      <c r="U76" s="691"/>
      <c r="V76" s="691"/>
      <c r="W76" s="691"/>
      <c r="AB76" s="169"/>
      <c r="AE76" s="93">
        <f>2498+60</f>
        <v>2558</v>
      </c>
    </row>
    <row r="77" spans="1:36" hidden="1">
      <c r="A77" s="100" t="s">
        <v>69</v>
      </c>
      <c r="B77" s="100"/>
      <c r="C77" s="100"/>
      <c r="D77" s="100"/>
      <c r="E77" s="100"/>
      <c r="F77" s="386"/>
      <c r="G77" s="386"/>
      <c r="H77" s="386"/>
      <c r="I77" s="386"/>
      <c r="J77" s="252">
        <f>SUM(C77:G77)</f>
        <v>0</v>
      </c>
      <c r="K77" s="252"/>
      <c r="L77" s="713"/>
      <c r="M77" s="713"/>
      <c r="N77" s="252"/>
      <c r="O77" s="252"/>
      <c r="P77" s="252">
        <f t="shared" si="11"/>
        <v>0</v>
      </c>
      <c r="Q77" s="729" t="s">
        <v>70</v>
      </c>
      <c r="R77" s="729">
        <f t="shared" si="26"/>
        <v>0</v>
      </c>
      <c r="S77" s="691"/>
      <c r="T77" s="691"/>
      <c r="U77" s="691"/>
      <c r="V77" s="691"/>
      <c r="W77" s="691"/>
    </row>
    <row r="78" spans="1:36">
      <c r="A78" s="100" t="s">
        <v>42</v>
      </c>
      <c r="B78" s="100">
        <v>58</v>
      </c>
      <c r="C78" s="100">
        <v>53</v>
      </c>
      <c r="D78" s="100">
        <v>12</v>
      </c>
      <c r="E78" s="100">
        <v>2</v>
      </c>
      <c r="F78" s="386">
        <v>3</v>
      </c>
      <c r="G78" s="386"/>
      <c r="H78" s="386"/>
      <c r="I78" s="386"/>
      <c r="J78" s="252">
        <f>SUM(B78:I78)</f>
        <v>128</v>
      </c>
      <c r="K78" s="713"/>
      <c r="L78" s="713"/>
      <c r="M78" s="713"/>
      <c r="N78" s="252"/>
      <c r="O78" s="252"/>
      <c r="P78" s="252">
        <f t="shared" ref="P78" si="27">SUM(J78:O78)</f>
        <v>128</v>
      </c>
      <c r="Q78" s="729"/>
      <c r="R78" s="729">
        <f t="shared" si="26"/>
        <v>58</v>
      </c>
      <c r="S78" s="738">
        <v>50</v>
      </c>
      <c r="T78" s="738">
        <v>50</v>
      </c>
      <c r="U78" s="738">
        <v>50</v>
      </c>
      <c r="V78" s="738">
        <v>50</v>
      </c>
      <c r="W78" s="738">
        <v>50</v>
      </c>
    </row>
    <row r="79" spans="1:36">
      <c r="A79" s="100" t="s">
        <v>142</v>
      </c>
      <c r="B79" s="100"/>
      <c r="C79" s="100">
        <v>34</v>
      </c>
      <c r="D79" s="100">
        <v>24</v>
      </c>
      <c r="E79" s="100">
        <v>4</v>
      </c>
      <c r="F79" s="386">
        <v>10</v>
      </c>
      <c r="G79" s="386"/>
      <c r="H79" s="386"/>
      <c r="I79" s="386"/>
      <c r="J79" s="252">
        <f>SUM(B79:I79)</f>
        <v>72</v>
      </c>
      <c r="K79" s="713"/>
      <c r="L79" s="713"/>
      <c r="M79" s="252"/>
      <c r="N79" s="713"/>
      <c r="O79" s="252"/>
      <c r="P79" s="252">
        <f t="shared" si="11"/>
        <v>72</v>
      </c>
      <c r="Q79" s="729"/>
      <c r="R79" s="729">
        <f t="shared" si="26"/>
        <v>0</v>
      </c>
      <c r="S79" s="739">
        <v>0</v>
      </c>
      <c r="T79" s="739">
        <v>0</v>
      </c>
      <c r="U79" s="739">
        <v>0</v>
      </c>
      <c r="V79" s="739">
        <v>0</v>
      </c>
      <c r="W79" s="739">
        <v>0</v>
      </c>
    </row>
    <row r="80" spans="1:36" hidden="1">
      <c r="A80" s="100" t="s">
        <v>29</v>
      </c>
      <c r="B80" s="100"/>
      <c r="C80" s="100"/>
      <c r="D80" s="100"/>
      <c r="E80" s="100"/>
      <c r="F80" s="386"/>
      <c r="G80" s="386"/>
      <c r="H80" s="386"/>
      <c r="I80" s="386"/>
      <c r="J80" s="252">
        <f t="shared" ref="J80:J85" si="28">SUM(C80:G80)</f>
        <v>0</v>
      </c>
      <c r="K80" s="713"/>
      <c r="L80" s="252"/>
      <c r="M80" s="252"/>
      <c r="N80" s="252"/>
      <c r="O80" s="252"/>
      <c r="P80" s="252">
        <f t="shared" si="11"/>
        <v>0</v>
      </c>
      <c r="Q80" s="729"/>
      <c r="R80" s="729">
        <f t="shared" si="26"/>
        <v>0</v>
      </c>
      <c r="S80" s="691"/>
      <c r="T80" s="691"/>
      <c r="U80" s="691"/>
      <c r="V80" s="691"/>
      <c r="W80" s="691"/>
    </row>
    <row r="81" spans="1:30" hidden="1">
      <c r="A81" s="100" t="s">
        <v>95</v>
      </c>
      <c r="B81" s="100"/>
      <c r="C81" s="100"/>
      <c r="D81" s="100"/>
      <c r="E81" s="100"/>
      <c r="F81" s="386"/>
      <c r="G81" s="386"/>
      <c r="H81" s="386"/>
      <c r="I81" s="386"/>
      <c r="J81" s="252">
        <f t="shared" si="28"/>
        <v>0</v>
      </c>
      <c r="K81" s="713"/>
      <c r="L81" s="252"/>
      <c r="M81" s="252"/>
      <c r="N81" s="252"/>
      <c r="O81" s="252"/>
      <c r="P81" s="252">
        <f t="shared" si="11"/>
        <v>0</v>
      </c>
      <c r="Q81" s="729"/>
      <c r="R81" s="729">
        <f t="shared" si="26"/>
        <v>0</v>
      </c>
      <c r="S81" s="691"/>
      <c r="T81" s="691"/>
      <c r="U81" s="691"/>
      <c r="V81" s="691"/>
      <c r="W81" s="691"/>
    </row>
    <row r="82" spans="1:30" hidden="1">
      <c r="A82" s="100" t="s">
        <v>30</v>
      </c>
      <c r="B82" s="100"/>
      <c r="C82" s="100"/>
      <c r="D82" s="100"/>
      <c r="E82" s="100"/>
      <c r="F82" s="386"/>
      <c r="G82" s="386"/>
      <c r="H82" s="386"/>
      <c r="I82" s="386"/>
      <c r="J82" s="252">
        <f t="shared" si="28"/>
        <v>0</v>
      </c>
      <c r="K82" s="252"/>
      <c r="L82" s="252"/>
      <c r="M82" s="252"/>
      <c r="N82" s="252"/>
      <c r="O82" s="252"/>
      <c r="P82" s="252">
        <f t="shared" si="11"/>
        <v>0</v>
      </c>
      <c r="Q82" s="729"/>
      <c r="R82" s="729">
        <f t="shared" si="26"/>
        <v>0</v>
      </c>
      <c r="S82" s="691"/>
      <c r="T82" s="691"/>
      <c r="U82" s="691"/>
      <c r="V82" s="691"/>
      <c r="W82" s="691"/>
    </row>
    <row r="83" spans="1:30" hidden="1">
      <c r="A83" s="100" t="s">
        <v>31</v>
      </c>
      <c r="B83" s="100"/>
      <c r="C83" s="100"/>
      <c r="D83" s="100"/>
      <c r="E83" s="100"/>
      <c r="F83" s="386"/>
      <c r="G83" s="386"/>
      <c r="H83" s="386"/>
      <c r="I83" s="386"/>
      <c r="J83" s="252">
        <f t="shared" si="28"/>
        <v>0</v>
      </c>
      <c r="K83" s="252"/>
      <c r="L83" s="252"/>
      <c r="M83" s="252"/>
      <c r="N83" s="252"/>
      <c r="O83" s="252"/>
      <c r="P83" s="252">
        <f t="shared" si="11"/>
        <v>0</v>
      </c>
      <c r="Q83" s="729"/>
      <c r="R83" s="729">
        <f t="shared" si="26"/>
        <v>0</v>
      </c>
      <c r="S83" s="691"/>
      <c r="T83" s="691"/>
      <c r="U83" s="691"/>
      <c r="V83" s="691"/>
      <c r="W83" s="691"/>
    </row>
    <row r="84" spans="1:30" hidden="1">
      <c r="A84" s="100" t="s">
        <v>32</v>
      </c>
      <c r="B84" s="100"/>
      <c r="C84" s="100"/>
      <c r="D84" s="100"/>
      <c r="E84" s="100"/>
      <c r="F84" s="386"/>
      <c r="G84" s="386"/>
      <c r="H84" s="386"/>
      <c r="I84" s="386"/>
      <c r="J84" s="252">
        <f t="shared" si="28"/>
        <v>0</v>
      </c>
      <c r="K84" s="252"/>
      <c r="L84" s="713">
        <v>26</v>
      </c>
      <c r="M84" s="713">
        <v>1</v>
      </c>
      <c r="N84" s="252"/>
      <c r="O84" s="252"/>
      <c r="P84" s="252">
        <f t="shared" si="11"/>
        <v>27</v>
      </c>
      <c r="Q84" s="729"/>
      <c r="R84" s="729">
        <f t="shared" si="26"/>
        <v>0</v>
      </c>
      <c r="S84" s="691"/>
      <c r="T84" s="691"/>
      <c r="U84" s="691"/>
      <c r="V84" s="691"/>
      <c r="W84" s="691"/>
    </row>
    <row r="85" spans="1:30" hidden="1">
      <c r="A85" s="100" t="s">
        <v>33</v>
      </c>
      <c r="B85" s="100"/>
      <c r="C85" s="100"/>
      <c r="D85" s="100"/>
      <c r="E85" s="100"/>
      <c r="F85" s="386"/>
      <c r="G85" s="386"/>
      <c r="H85" s="386"/>
      <c r="I85" s="386"/>
      <c r="J85" s="252">
        <f t="shared" si="28"/>
        <v>0</v>
      </c>
      <c r="K85" s="252">
        <v>85</v>
      </c>
      <c r="L85" s="252">
        <v>66</v>
      </c>
      <c r="M85" s="713">
        <v>14</v>
      </c>
      <c r="N85" s="252">
        <v>7</v>
      </c>
      <c r="O85" s="252"/>
      <c r="P85" s="252">
        <f t="shared" si="11"/>
        <v>172</v>
      </c>
      <c r="Q85" s="729"/>
      <c r="R85" s="729">
        <f t="shared" si="26"/>
        <v>0</v>
      </c>
      <c r="S85" s="691"/>
      <c r="T85" s="691"/>
      <c r="U85" s="691"/>
      <c r="V85" s="691"/>
      <c r="W85" s="691"/>
    </row>
    <row r="86" spans="1:30" hidden="1">
      <c r="A86" s="100" t="s">
        <v>142</v>
      </c>
      <c r="B86" s="100"/>
      <c r="C86" s="100"/>
      <c r="D86" s="100"/>
      <c r="E86" s="100"/>
      <c r="F86" s="386"/>
      <c r="G86" s="386"/>
      <c r="H86" s="386"/>
      <c r="I86" s="386"/>
      <c r="J86" s="252">
        <f>SUM(C86:H86)</f>
        <v>0</v>
      </c>
      <c r="K86" s="713"/>
      <c r="L86" s="713"/>
      <c r="M86" s="252"/>
      <c r="N86" s="713"/>
      <c r="O86" s="252"/>
      <c r="P86" s="252">
        <f>SUM(J86:O86)</f>
        <v>0</v>
      </c>
      <c r="Q86" s="729"/>
      <c r="R86" s="729">
        <f t="shared" si="26"/>
        <v>0</v>
      </c>
      <c r="S86" s="691"/>
      <c r="T86" s="691"/>
      <c r="U86" s="691"/>
      <c r="V86" s="691"/>
      <c r="W86" s="691"/>
    </row>
    <row r="87" spans="1:30" hidden="1">
      <c r="A87" s="100" t="s">
        <v>146</v>
      </c>
      <c r="B87" s="100"/>
      <c r="C87" s="100"/>
      <c r="D87" s="100"/>
      <c r="E87" s="100"/>
      <c r="F87" s="386"/>
      <c r="G87" s="386"/>
      <c r="H87" s="386"/>
      <c r="I87" s="386"/>
      <c r="J87" s="252">
        <f>SUM(C87:H87)</f>
        <v>0</v>
      </c>
      <c r="K87" s="252"/>
      <c r="L87" s="252"/>
      <c r="M87" s="252"/>
      <c r="N87" s="252"/>
      <c r="O87" s="252"/>
      <c r="P87" s="252">
        <f>SUM(J87:O87)</f>
        <v>0</v>
      </c>
      <c r="Q87" s="729"/>
      <c r="R87" s="729">
        <f t="shared" si="26"/>
        <v>0</v>
      </c>
      <c r="S87" s="691"/>
      <c r="T87" s="691"/>
      <c r="U87" s="691"/>
      <c r="V87" s="691"/>
      <c r="W87" s="691"/>
    </row>
    <row r="88" spans="1:30">
      <c r="A88" s="100" t="s">
        <v>344</v>
      </c>
      <c r="B88" s="100">
        <v>29</v>
      </c>
      <c r="C88" s="100"/>
      <c r="D88" s="100"/>
      <c r="E88" s="100"/>
      <c r="F88" s="386"/>
      <c r="G88" s="386"/>
      <c r="H88" s="386"/>
      <c r="I88" s="386"/>
      <c r="J88" s="252">
        <f>SUM(B88:I88)</f>
        <v>29</v>
      </c>
      <c r="K88" s="713">
        <v>170</v>
      </c>
      <c r="L88" s="713">
        <v>102</v>
      </c>
      <c r="M88" s="713">
        <v>9</v>
      </c>
      <c r="N88" s="252">
        <v>5</v>
      </c>
      <c r="O88" s="252"/>
      <c r="P88" s="252">
        <f>SUM(J88:O88)</f>
        <v>315</v>
      </c>
      <c r="Q88" s="729"/>
      <c r="R88" s="729">
        <f t="shared" si="26"/>
        <v>29</v>
      </c>
      <c r="S88" s="738">
        <v>35</v>
      </c>
      <c r="T88" s="738">
        <v>35</v>
      </c>
      <c r="U88" s="738">
        <v>35</v>
      </c>
      <c r="V88" s="738">
        <v>35</v>
      </c>
      <c r="W88" s="738">
        <v>35</v>
      </c>
      <c r="AB88" s="169">
        <f>J76</f>
        <v>0</v>
      </c>
      <c r="AC88" s="169">
        <f>J71</f>
        <v>0</v>
      </c>
    </row>
    <row r="89" spans="1:30">
      <c r="A89" s="99" t="s">
        <v>141</v>
      </c>
      <c r="B89" s="99">
        <v>41</v>
      </c>
      <c r="C89" s="99">
        <v>43</v>
      </c>
      <c r="D89" s="99">
        <v>19</v>
      </c>
      <c r="E89" s="99">
        <v>10</v>
      </c>
      <c r="F89" s="388">
        <v>9</v>
      </c>
      <c r="G89" s="388"/>
      <c r="H89" s="388"/>
      <c r="I89" s="388"/>
      <c r="J89" s="716">
        <f>SUM(B89:I89)</f>
        <v>122</v>
      </c>
      <c r="K89" s="717">
        <v>170</v>
      </c>
      <c r="L89" s="717">
        <v>102</v>
      </c>
      <c r="M89" s="717">
        <v>9</v>
      </c>
      <c r="N89" s="716">
        <v>5</v>
      </c>
      <c r="O89" s="716"/>
      <c r="P89" s="254">
        <f>SUM(J89:O89)</f>
        <v>408</v>
      </c>
      <c r="R89" s="421">
        <f t="shared" si="26"/>
        <v>41</v>
      </c>
      <c r="S89" s="740">
        <v>40</v>
      </c>
      <c r="T89" s="740">
        <v>40</v>
      </c>
      <c r="U89" s="740">
        <v>40</v>
      </c>
      <c r="V89" s="740">
        <v>40</v>
      </c>
      <c r="W89" s="740">
        <v>40</v>
      </c>
      <c r="AB89" s="169" t="e">
        <f>#REF!</f>
        <v>#REF!</v>
      </c>
      <c r="AC89" s="169">
        <f>J72</f>
        <v>281</v>
      </c>
    </row>
    <row r="90" spans="1:30" hidden="1">
      <c r="A90" s="100" t="s">
        <v>157</v>
      </c>
      <c r="B90" s="100"/>
      <c r="C90" s="100"/>
      <c r="D90" s="100"/>
      <c r="E90" s="100"/>
      <c r="F90" s="386"/>
      <c r="G90" s="386"/>
      <c r="H90" s="386"/>
      <c r="I90" s="386"/>
      <c r="J90" s="252">
        <f>SUM(C90:H90)</f>
        <v>0</v>
      </c>
      <c r="K90" s="252"/>
      <c r="L90" s="252"/>
      <c r="M90" s="252"/>
      <c r="N90" s="252"/>
      <c r="O90" s="252"/>
      <c r="P90" s="107">
        <f t="shared" si="11"/>
        <v>0</v>
      </c>
      <c r="S90" s="691"/>
      <c r="T90" s="691"/>
      <c r="U90" s="691"/>
      <c r="V90" s="691"/>
      <c r="W90" s="691"/>
    </row>
    <row r="91" spans="1:30" hidden="1">
      <c r="A91" s="103" t="s">
        <v>35</v>
      </c>
      <c r="B91" s="103"/>
      <c r="C91" s="103"/>
      <c r="D91" s="103"/>
      <c r="E91" s="103"/>
      <c r="F91" s="367"/>
      <c r="G91" s="367"/>
      <c r="H91" s="367"/>
      <c r="I91" s="367"/>
      <c r="J91" s="107"/>
      <c r="K91" s="107"/>
      <c r="L91" s="107"/>
      <c r="M91" s="107"/>
      <c r="N91" s="107"/>
      <c r="O91" s="107"/>
      <c r="P91" s="107">
        <f t="shared" si="11"/>
        <v>0</v>
      </c>
      <c r="S91" s="692"/>
      <c r="T91" s="692"/>
      <c r="U91" s="692"/>
      <c r="V91" s="692"/>
      <c r="W91" s="692"/>
    </row>
    <row r="92" spans="1:30">
      <c r="A92" s="95" t="s">
        <v>3</v>
      </c>
      <c r="B92" s="392">
        <f t="shared" ref="B92:O92" si="29">SUM(B72:B91)</f>
        <v>170</v>
      </c>
      <c r="C92" s="392">
        <f t="shared" si="29"/>
        <v>217</v>
      </c>
      <c r="D92" s="392">
        <f t="shared" si="29"/>
        <v>110</v>
      </c>
      <c r="E92" s="392">
        <f t="shared" si="29"/>
        <v>95</v>
      </c>
      <c r="F92" s="392">
        <f t="shared" si="29"/>
        <v>41</v>
      </c>
      <c r="G92" s="392">
        <f t="shared" si="29"/>
        <v>0</v>
      </c>
      <c r="H92" s="392">
        <f t="shared" si="29"/>
        <v>0</v>
      </c>
      <c r="I92" s="392">
        <f t="shared" si="29"/>
        <v>0</v>
      </c>
      <c r="J92" s="106">
        <f t="shared" si="29"/>
        <v>633</v>
      </c>
      <c r="K92" s="106">
        <f t="shared" si="29"/>
        <v>622</v>
      </c>
      <c r="L92" s="106">
        <f t="shared" si="29"/>
        <v>544</v>
      </c>
      <c r="M92" s="106">
        <f t="shared" si="29"/>
        <v>92</v>
      </c>
      <c r="N92" s="106">
        <f t="shared" si="29"/>
        <v>73</v>
      </c>
      <c r="O92" s="106">
        <f t="shared" si="29"/>
        <v>0</v>
      </c>
      <c r="P92" s="106">
        <f t="shared" si="11"/>
        <v>1964</v>
      </c>
      <c r="Q92" s="491"/>
      <c r="R92" s="106">
        <f t="shared" ref="R92:W92" si="30">SUM(R72:R91)</f>
        <v>170</v>
      </c>
      <c r="S92" s="106">
        <f t="shared" si="30"/>
        <v>205</v>
      </c>
      <c r="T92" s="106">
        <f t="shared" si="30"/>
        <v>205</v>
      </c>
      <c r="U92" s="106">
        <f t="shared" si="30"/>
        <v>205</v>
      </c>
      <c r="V92" s="106">
        <f t="shared" si="30"/>
        <v>205</v>
      </c>
      <c r="W92" s="106">
        <f t="shared" si="30"/>
        <v>205</v>
      </c>
      <c r="X92" s="394">
        <f>H92</f>
        <v>0</v>
      </c>
      <c r="Y92" s="394"/>
      <c r="Z92" s="394"/>
      <c r="AB92" s="169" t="e">
        <f>J92-(AB89+AC89)</f>
        <v>#REF!</v>
      </c>
      <c r="AC92" s="169">
        <f>J72</f>
        <v>281</v>
      </c>
    </row>
    <row r="93" spans="1:30" hidden="1">
      <c r="A93" s="697" t="s">
        <v>36</v>
      </c>
      <c r="B93" s="414">
        <f t="shared" ref="B93:J93" si="31">SUM(B20,B46,B56,B70,B92,B50)</f>
        <v>358</v>
      </c>
      <c r="C93" s="414">
        <f t="shared" si="31"/>
        <v>387</v>
      </c>
      <c r="D93" s="414">
        <f t="shared" si="31"/>
        <v>255</v>
      </c>
      <c r="E93" s="414">
        <f t="shared" si="31"/>
        <v>215</v>
      </c>
      <c r="F93" s="414">
        <f t="shared" si="31"/>
        <v>110</v>
      </c>
      <c r="G93" s="414">
        <f t="shared" si="31"/>
        <v>0</v>
      </c>
      <c r="H93" s="414">
        <f t="shared" si="31"/>
        <v>0</v>
      </c>
      <c r="I93" s="414">
        <f t="shared" si="31"/>
        <v>0</v>
      </c>
      <c r="J93" s="719">
        <f t="shared" si="31"/>
        <v>1287</v>
      </c>
      <c r="K93" s="719">
        <f t="shared" ref="K93:P93" si="32">SUM(K20,K46,K56,K70,K92)</f>
        <v>1304</v>
      </c>
      <c r="L93" s="719">
        <f t="shared" si="32"/>
        <v>1190</v>
      </c>
      <c r="M93" s="719">
        <f t="shared" si="32"/>
        <v>272</v>
      </c>
      <c r="N93" s="719">
        <f t="shared" si="32"/>
        <v>170</v>
      </c>
      <c r="O93" s="719">
        <f t="shared" si="32"/>
        <v>0</v>
      </c>
      <c r="P93" s="719">
        <f t="shared" si="32"/>
        <v>4188</v>
      </c>
      <c r="Q93" s="421">
        <v>3678</v>
      </c>
      <c r="S93" s="695"/>
      <c r="T93" s="695"/>
      <c r="U93" s="695"/>
      <c r="V93" s="695"/>
      <c r="W93" s="695"/>
      <c r="X93" s="416">
        <f>SUM(X7:X92)</f>
        <v>0</v>
      </c>
      <c r="Y93" s="416"/>
      <c r="Z93" s="416"/>
      <c r="AC93" s="169">
        <f>F93+11+5</f>
        <v>126</v>
      </c>
      <c r="AD93" s="169">
        <f>J93+16</f>
        <v>1303</v>
      </c>
    </row>
    <row r="94" spans="1:30" hidden="1">
      <c r="B94" s="169">
        <f>B93+บัณฑิตศึกษา!B41</f>
        <v>732</v>
      </c>
      <c r="G94" s="169">
        <f>J93+บัณฑิตศึกษา!I41</f>
        <v>2327</v>
      </c>
      <c r="J94" s="626" t="e">
        <f>Y23-Y11</f>
        <v>#REF!</v>
      </c>
      <c r="X94" s="93">
        <f>3554-329</f>
        <v>3225</v>
      </c>
    </row>
    <row r="95" spans="1:30" hidden="1">
      <c r="A95" s="875" t="s">
        <v>353</v>
      </c>
      <c r="B95" s="876"/>
      <c r="C95" s="876"/>
      <c r="D95" s="876"/>
      <c r="G95" s="417"/>
      <c r="H95" s="417"/>
      <c r="I95" s="417"/>
      <c r="J95" s="720">
        <v>1538</v>
      </c>
      <c r="K95" s="721"/>
      <c r="L95" s="721"/>
      <c r="M95" s="721"/>
      <c r="N95" s="721"/>
      <c r="O95" s="721"/>
      <c r="P95" s="721">
        <v>28</v>
      </c>
      <c r="Q95" s="721"/>
      <c r="R95" s="721"/>
      <c r="S95" s="698"/>
      <c r="T95" s="698"/>
      <c r="U95" s="698"/>
      <c r="V95" s="698"/>
      <c r="W95" s="698"/>
      <c r="X95" s="471" t="s">
        <v>317</v>
      </c>
    </row>
    <row r="96" spans="1:30" hidden="1">
      <c r="A96" s="486" t="s">
        <v>294</v>
      </c>
      <c r="B96" s="624"/>
      <c r="G96" s="169"/>
      <c r="J96" s="721">
        <f>J93-J95</f>
        <v>-251</v>
      </c>
      <c r="K96" s="721"/>
      <c r="L96" s="721"/>
      <c r="M96" s="721"/>
      <c r="N96" s="721"/>
      <c r="O96" s="721"/>
      <c r="P96" s="721"/>
      <c r="Q96" s="721"/>
      <c r="R96" s="721"/>
      <c r="S96" s="698"/>
      <c r="T96" s="698"/>
      <c r="U96" s="698"/>
      <c r="V96" s="698"/>
      <c r="W96" s="698"/>
      <c r="X96" s="471" t="s">
        <v>318</v>
      </c>
    </row>
    <row r="97" spans="1:28" hidden="1">
      <c r="A97" s="486"/>
      <c r="B97" s="624"/>
    </row>
    <row r="98" spans="1:28" ht="21.75" hidden="1" thickBot="1">
      <c r="A98" s="487"/>
      <c r="B98" s="624"/>
    </row>
    <row r="99" spans="1:28" hidden="1">
      <c r="A99" s="126" t="s">
        <v>39</v>
      </c>
      <c r="B99" s="126"/>
      <c r="C99" s="169">
        <f>G20</f>
        <v>0</v>
      </c>
      <c r="J99" s="421">
        <v>1436</v>
      </c>
      <c r="AB99" s="93">
        <f>3606+153</f>
        <v>3759</v>
      </c>
    </row>
    <row r="100" spans="1:28" hidden="1">
      <c r="A100" s="126" t="s">
        <v>149</v>
      </c>
      <c r="B100" s="126"/>
      <c r="C100" s="169">
        <f>(G46+G70+G92)-C101</f>
        <v>0</v>
      </c>
    </row>
    <row r="101" spans="1:28" hidden="1">
      <c r="A101" s="126" t="s">
        <v>41</v>
      </c>
      <c r="B101" s="126"/>
      <c r="C101" s="93">
        <f>AB75</f>
        <v>0</v>
      </c>
      <c r="AB101" s="169">
        <f>J93-AB99</f>
        <v>-2472</v>
      </c>
    </row>
    <row r="102" spans="1:28" hidden="1">
      <c r="A102" s="126" t="s">
        <v>152</v>
      </c>
      <c r="B102" s="126"/>
      <c r="C102" s="93">
        <v>0</v>
      </c>
      <c r="J102" s="421">
        <f>J93-67</f>
        <v>1220</v>
      </c>
    </row>
    <row r="103" spans="1:28" hidden="1">
      <c r="A103" s="126" t="s">
        <v>150</v>
      </c>
      <c r="B103" s="126"/>
      <c r="C103" s="93">
        <f>บัณฑิตศึกษา!F44</f>
        <v>0</v>
      </c>
    </row>
    <row r="104" spans="1:28" hidden="1">
      <c r="A104" s="126" t="s">
        <v>151</v>
      </c>
      <c r="B104" s="126"/>
      <c r="C104" s="93">
        <f>บัณฑิตศึกษา!F45</f>
        <v>0</v>
      </c>
    </row>
    <row r="105" spans="1:28" hidden="1">
      <c r="C105" s="169">
        <f>SUM(C99:C104)</f>
        <v>0</v>
      </c>
    </row>
    <row r="106" spans="1:28" hidden="1">
      <c r="A106" s="261"/>
      <c r="B106" s="261"/>
      <c r="C106" s="261"/>
      <c r="D106" s="261"/>
    </row>
    <row r="107" spans="1:28" hidden="1"/>
    <row r="108" spans="1:28" hidden="1"/>
    <row r="109" spans="1:28" hidden="1">
      <c r="C109" s="93" t="s">
        <v>156</v>
      </c>
      <c r="D109" s="93" t="s">
        <v>155</v>
      </c>
    </row>
    <row r="110" spans="1:28" hidden="1">
      <c r="A110" s="126" t="s">
        <v>207</v>
      </c>
      <c r="B110" s="126"/>
    </row>
    <row r="111" spans="1:28" hidden="1">
      <c r="A111" s="126" t="s">
        <v>65</v>
      </c>
      <c r="B111" s="126"/>
    </row>
    <row r="112" spans="1:28" hidden="1">
      <c r="A112" s="126" t="s">
        <v>208</v>
      </c>
      <c r="B112" s="126"/>
      <c r="C112" s="169">
        <f>X56+X50+X46</f>
        <v>0</v>
      </c>
      <c r="D112" s="169">
        <f>X92+X70</f>
        <v>0</v>
      </c>
      <c r="E112" s="169">
        <f>SUM(C112:D112)</f>
        <v>0</v>
      </c>
    </row>
    <row r="113" spans="1:2" hidden="1">
      <c r="A113" s="126" t="s">
        <v>209</v>
      </c>
      <c r="B113" s="126"/>
    </row>
    <row r="114" spans="1:2" hidden="1">
      <c r="A114" s="126" t="s">
        <v>134</v>
      </c>
      <c r="B114" s="126"/>
    </row>
    <row r="115" spans="1:2" hidden="1">
      <c r="A115" s="126" t="s">
        <v>3</v>
      </c>
      <c r="B115" s="126"/>
    </row>
    <row r="116" spans="1:2" hidden="1"/>
    <row r="117" spans="1:2" hidden="1"/>
    <row r="118" spans="1:2" hidden="1"/>
  </sheetData>
  <mergeCells count="13">
    <mergeCell ref="X7:AD7"/>
    <mergeCell ref="A1:W1"/>
    <mergeCell ref="S3:W3"/>
    <mergeCell ref="A3:A5"/>
    <mergeCell ref="C3:I3"/>
    <mergeCell ref="J3:J4"/>
    <mergeCell ref="P4:P5"/>
    <mergeCell ref="R3:R4"/>
    <mergeCell ref="X9:X10"/>
    <mergeCell ref="Y9:AC9"/>
    <mergeCell ref="AD9:AD10"/>
    <mergeCell ref="Y23:AA23"/>
    <mergeCell ref="A95:D95"/>
  </mergeCells>
  <printOptions horizontalCentered="1"/>
  <pageMargins left="0.62992125984251968" right="0.59055118110236227" top="0.98425196850393704" bottom="0.98425196850393704" header="0.55118110236220474" footer="0.31496062992125984"/>
  <pageSetup paperSize="9" scale="72" orientation="landscape" r:id="rId1"/>
  <headerFooter alignWithMargins="0">
    <oddFooter>หน้าที่ &amp;P จาก &amp;N</oddFooter>
  </headerFooter>
  <rowBreaks count="6" manualBreakCount="6">
    <brk id="20" max="21" man="1"/>
    <brk id="46" max="21" man="1"/>
    <brk id="50" max="21" man="1"/>
    <brk id="56" max="21" man="1"/>
    <brk id="70" max="21" man="1"/>
    <brk id="9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25</vt:i4>
      </vt:variant>
      <vt:variant>
        <vt:lpstr>ช่วงที่มีชื่อ</vt:lpstr>
      </vt:variant>
      <vt:variant>
        <vt:i4>30</vt:i4>
      </vt:variant>
    </vt:vector>
  </HeadingPairs>
  <TitlesOfParts>
    <vt:vector size="55" baseType="lpstr">
      <vt:lpstr>นศ.รวม+สำเร็จ</vt:lpstr>
      <vt:lpstr>ปกติ</vt:lpstr>
      <vt:lpstr>ปกติตัดปี1</vt:lpstr>
      <vt:lpstr>กศ.ป.</vt:lpstr>
      <vt:lpstr>กศ.ป.ตัดปี1</vt:lpstr>
      <vt:lpstr>ปกติ (2)</vt:lpstr>
      <vt:lpstr>กศ.ป. (2)</vt:lpstr>
      <vt:lpstr>แผนรับนักศึกษา </vt:lpstr>
      <vt:lpstr>แผนการรับนักศึกษาพิเศษ</vt:lpstr>
      <vt:lpstr>แผนรับนักศึกษาต่างชาติ</vt:lpstr>
      <vt:lpstr>บัณฑิตศึกษา</vt:lpstr>
      <vt:lpstr>บัณฑิตศึกษาตัดปี1</vt:lpstr>
      <vt:lpstr>นักเรียนรร.วิถีธรรม</vt:lpstr>
      <vt:lpstr>นศ.คงอยู่ปกติ</vt:lpstr>
      <vt:lpstr>นศ.คงอยู่พิเศษ</vt:lpstr>
      <vt:lpstr>Sheet1</vt:lpstr>
      <vt:lpstr>รวมทั้งสองภาค</vt:lpstr>
      <vt:lpstr>แผนการรับนักศึกษาพิเศษ (2)</vt:lpstr>
      <vt:lpstr>แผนการรับนักศึกษาพิเศษต่างชาติ</vt:lpstr>
      <vt:lpstr>แผนรับบัณฑิตศึกษา</vt:lpstr>
      <vt:lpstr>แผนรับบัณฑิตศึกษา (2)</vt:lpstr>
      <vt:lpstr>แผนรับบัณฑิตศึกษาต่างชาติ</vt:lpstr>
      <vt:lpstr>นักเรียนวิถีธรรม</vt:lpstr>
      <vt:lpstr>นักเรียนวิถีธรรม (2)</vt:lpstr>
      <vt:lpstr>สรุปส่งจังหวัด5_4_59</vt:lpstr>
      <vt:lpstr>กศ.ป.!Print_Area</vt:lpstr>
      <vt:lpstr>'กศ.ป. (2)'!Print_Area</vt:lpstr>
      <vt:lpstr>กศ.ป.ตัดปี1!Print_Area</vt:lpstr>
      <vt:lpstr>บัณฑิตศึกษา!Print_Area</vt:lpstr>
      <vt:lpstr>บัณฑิตศึกษาตัดปี1!Print_Area</vt:lpstr>
      <vt:lpstr>ปกติ!Print_Area</vt:lpstr>
      <vt:lpstr>'ปกติ (2)'!Print_Area</vt:lpstr>
      <vt:lpstr>ปกติตัดปี1!Print_Area</vt:lpstr>
      <vt:lpstr>แผนการรับนักศึกษาพิเศษ!Print_Area</vt:lpstr>
      <vt:lpstr>'แผนการรับนักศึกษาพิเศษ (2)'!Print_Area</vt:lpstr>
      <vt:lpstr>แผนการรับนักศึกษาพิเศษต่างชาติ!Print_Area</vt:lpstr>
      <vt:lpstr>'แผนรับนักศึกษา '!Print_Area</vt:lpstr>
      <vt:lpstr>แผนรับนักศึกษาต่างชาติ!Print_Area</vt:lpstr>
      <vt:lpstr>แผนรับบัณฑิตศึกษา!Print_Area</vt:lpstr>
      <vt:lpstr>'แผนรับบัณฑิตศึกษา (2)'!Print_Area</vt:lpstr>
      <vt:lpstr>แผนรับบัณฑิตศึกษาต่างชาติ!Print_Area</vt:lpstr>
      <vt:lpstr>สรุปส่งจังหวัด5_4_59!Print_Area</vt:lpstr>
      <vt:lpstr>'กศ.ป. (2)'!Print_Titles</vt:lpstr>
      <vt:lpstr>บัณฑิตศึกษา!Print_Titles</vt:lpstr>
      <vt:lpstr>ปกติ!Print_Titles</vt:lpstr>
      <vt:lpstr>'ปกติ (2)'!Print_Titles</vt:lpstr>
      <vt:lpstr>ปกติตัดปี1!Print_Titles</vt:lpstr>
      <vt:lpstr>แผนการรับนักศึกษาพิเศษ!Print_Titles</vt:lpstr>
      <vt:lpstr>'แผนการรับนักศึกษาพิเศษ (2)'!Print_Titles</vt:lpstr>
      <vt:lpstr>แผนการรับนักศึกษาพิเศษต่างชาติ!Print_Titles</vt:lpstr>
      <vt:lpstr>'แผนรับนักศึกษา '!Print_Titles</vt:lpstr>
      <vt:lpstr>แผนรับนักศึกษาต่างชาติ!Print_Titles</vt:lpstr>
      <vt:lpstr>แผนรับบัณฑิตศึกษา!Print_Titles</vt:lpstr>
      <vt:lpstr>'แผนรับบัณฑิตศึกษา (2)'!Print_Titles</vt:lpstr>
      <vt:lpstr>แผนรับบัณฑิตศึกษาต่างชาติ!Print_Titles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ANN</cp:lastModifiedBy>
  <cp:lastPrinted>2016-12-30T05:12:47Z</cp:lastPrinted>
  <dcterms:created xsi:type="dcterms:W3CDTF">2008-06-25T08:01:52Z</dcterms:created>
  <dcterms:modified xsi:type="dcterms:W3CDTF">2017-01-04T04:45:12Z</dcterms:modified>
</cp:coreProperties>
</file>